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marje.pihl\Desktop\Taotlus\"/>
    </mc:Choice>
  </mc:AlternateContent>
  <xr:revisionPtr revIDLastSave="0" documentId="13_ncr:1_{B2EC6483-5CE6-4280-B6DC-3B6C0B269819}" xr6:coauthVersionLast="47" xr6:coauthVersionMax="47" xr10:uidLastSave="{00000000-0000-0000-0000-000000000000}"/>
  <bookViews>
    <workbookView xWindow="0" yWindow="660" windowWidth="21600" windowHeight="11385" tabRatio="847" xr2:uid="{00000000-000D-0000-FFFF-FFFF00000000}"/>
  </bookViews>
  <sheets>
    <sheet name="RES IKT lisataotlused kokku" sheetId="2" r:id="rId1"/>
    <sheet name="RES4" sheetId="6" r:id="rId2"/>
    <sheet name="RES5" sheetId="7" r:id="rId3"/>
    <sheet name="RES6" sheetId="8" r:id="rId4"/>
    <sheet name="RES7" sheetId="9" r:id="rId5"/>
    <sheet name="RES8" sheetId="10" r:id="rId6"/>
    <sheet name="RES9" sheetId="11" r:id="rId7"/>
  </sheets>
  <definedNames>
    <definedName name="Kasutajaid" localSheetId="6">#REF!</definedName>
    <definedName name="Kasutajaid">#REF!</definedName>
    <definedName name="Kontrollplaanide_käsitsi_koostamiseks_kuluv_aeg_aastas__tundi" localSheetId="6">#REF!</definedName>
    <definedName name="Kontrollplaanide_käsitsi_koostamiseks_kuluv_aeg_aastas__tundi">#REF!</definedName>
    <definedName name="Teenuskordi_aastas">#REF!</definedName>
    <definedName name="Tähtaja_lähenemisest_käsitsi_teavitamiseks_kuluv_aeg__minutit">#REF!</definedName>
    <definedName name="Töötunde_aastas">#REF!</definedName>
    <definedName name="Töötunni_maksumus__€">#REF!</definedName>
    <definedName name="Töövaldkonna_aruannete_käsitsi_koostamiseks_kuluv_aeg_aastas__tundi">#REF!</definedName>
    <definedName name="Ühe_paberdokumendi_käitlemise_ja_postitamise_kulu__€">#REF!</definedName>
  </definedNames>
  <calcPr calcId="191029"/>
  <customWorkbookViews>
    <customWorkbookView name="Marje Pihl - Eravaade" guid="{B6CE57D0-3B00-4AA5-8045-5810B3AC38EF}" mergeInterval="0" personalView="1" maximized="1" xWindow="-9" yWindow="-9" windowWidth="1938" windowHeight="997" tabRatio="847" activeSheetId="2"/>
    <customWorkbookView name="Tõnis Komp - Personal View" guid="{C5B98205-32EA-4978-BDE9-09FE8244BB3C}" mergeInterval="0" personalView="1" maximized="1" xWindow="-11" yWindow="-11" windowWidth="1942" windowHeight="1042" tabRatio="847" activeSheetId="3"/>
    <customWorkbookView name="Priit Raspel - Eravaade" guid="{10B7B1F1-9BAA-4B0F-A300-C1E3D2D5095B}" mergeInterval="0" personalView="1" maximized="1" xWindow="-8" yWindow="-8" windowWidth="2576" windowHeight="1416" tabRatio="575" activeSheetId="11"/>
    <customWorkbookView name="Tõnis Jaagus - Eravaade" guid="{A0472B5E-ED4B-42A6-A051-1D638E3EAB28}" mergeInterval="0" personalView="1" maximized="1" xWindow="-9" yWindow="-9" windowWidth="1938" windowHeight="1048" tabRatio="847" activeSheetId="2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F64" i="10"/>
  <c r="K4" i="2"/>
  <c r="L4" i="2"/>
  <c r="M4" i="2"/>
  <c r="N4" i="2"/>
  <c r="O4" i="2"/>
  <c r="P4" i="2"/>
  <c r="Q4" i="2"/>
  <c r="R4" i="2"/>
  <c r="S4" i="2"/>
  <c r="T4" i="2"/>
  <c r="U4" i="2"/>
  <c r="V4" i="2"/>
  <c r="W4" i="2"/>
  <c r="X4" i="2"/>
  <c r="Y4" i="2"/>
  <c r="J4" i="2"/>
  <c r="D60" i="6"/>
  <c r="D58" i="6"/>
  <c r="D59" i="6"/>
  <c r="D56" i="6"/>
  <c r="D57" i="6"/>
  <c r="D71" i="10"/>
  <c r="V10" i="2"/>
  <c r="U10" i="2"/>
  <c r="L10" i="2" s="1"/>
  <c r="S10" i="2"/>
  <c r="R10" i="2"/>
  <c r="Q10" i="2"/>
  <c r="T10" i="2"/>
  <c r="W10" i="2"/>
  <c r="X10" i="2"/>
  <c r="Y10" i="2"/>
  <c r="O10" i="2"/>
  <c r="P10" i="2"/>
  <c r="N10" i="2"/>
  <c r="D90" i="11"/>
  <c r="D89" i="11"/>
  <c r="D91" i="11"/>
  <c r="D87" i="11"/>
  <c r="D88" i="11"/>
  <c r="D86" i="11"/>
  <c r="D83" i="11"/>
  <c r="D72" i="11"/>
  <c r="D68" i="11"/>
  <c r="M96" i="11"/>
  <c r="J96" i="11"/>
  <c r="G67" i="11"/>
  <c r="J86" i="11"/>
  <c r="M86" i="11" s="1"/>
  <c r="J87" i="11"/>
  <c r="M87" i="11" s="1"/>
  <c r="J88" i="11"/>
  <c r="M88" i="11" s="1"/>
  <c r="D85" i="11"/>
  <c r="D84" i="11"/>
  <c r="D82" i="11"/>
  <c r="D81" i="11"/>
  <c r="D80" i="11"/>
  <c r="D79" i="11"/>
  <c r="D78" i="11"/>
  <c r="D77" i="11"/>
  <c r="D76" i="11"/>
  <c r="D75" i="11"/>
  <c r="D74" i="11"/>
  <c r="D73" i="11"/>
  <c r="D71" i="11"/>
  <c r="D70" i="11"/>
  <c r="D69" i="11"/>
  <c r="K10" i="2" l="1"/>
  <c r="M10" i="2"/>
  <c r="J10" i="2"/>
  <c r="D67" i="11"/>
  <c r="D77" i="10" l="1"/>
  <c r="D76" i="10"/>
  <c r="D75" i="10"/>
  <c r="D73" i="9"/>
  <c r="D62" i="9"/>
  <c r="D72" i="9"/>
  <c r="D71" i="9"/>
  <c r="D70" i="9"/>
  <c r="D69" i="9"/>
  <c r="D68" i="9"/>
  <c r="D67" i="9"/>
  <c r="D66" i="9"/>
  <c r="D67" i="8"/>
  <c r="D63" i="8"/>
  <c r="D62" i="8"/>
  <c r="D61" i="8"/>
  <c r="D60" i="8"/>
  <c r="D59" i="8"/>
  <c r="D65" i="8"/>
  <c r="D64" i="8"/>
  <c r="M93" i="11"/>
  <c r="M91" i="11" s="1"/>
  <c r="F35" i="11" s="1"/>
  <c r="J93" i="11"/>
  <c r="G93" i="11"/>
  <c r="G91" i="11" s="1"/>
  <c r="D35" i="11" s="1"/>
  <c r="C35" i="11"/>
  <c r="J85" i="11"/>
  <c r="M85" i="11" s="1"/>
  <c r="J84" i="11"/>
  <c r="M84" i="11" s="1"/>
  <c r="J83" i="11"/>
  <c r="M83" i="11" s="1"/>
  <c r="J82" i="11"/>
  <c r="M82" i="11" s="1"/>
  <c r="J81" i="11"/>
  <c r="M81" i="11" s="1"/>
  <c r="J80" i="11"/>
  <c r="M80" i="11" s="1"/>
  <c r="J79" i="11"/>
  <c r="M79" i="11" s="1"/>
  <c r="J78" i="11"/>
  <c r="M78" i="11" s="1"/>
  <c r="J77" i="11"/>
  <c r="M77" i="11" s="1"/>
  <c r="J75" i="11"/>
  <c r="M75" i="11" s="1"/>
  <c r="J74" i="11"/>
  <c r="M74" i="11" s="1"/>
  <c r="J73" i="11"/>
  <c r="M73" i="11" s="1"/>
  <c r="J72" i="11"/>
  <c r="M72" i="11" s="1"/>
  <c r="J71" i="11"/>
  <c r="J70" i="11"/>
  <c r="M70" i="11" s="1"/>
  <c r="J69" i="11"/>
  <c r="M69" i="11" s="1"/>
  <c r="J68" i="11"/>
  <c r="C34" i="11"/>
  <c r="M64" i="11"/>
  <c r="F30" i="11" s="1"/>
  <c r="F29" i="11" s="1"/>
  <c r="J64" i="11"/>
  <c r="E30" i="11" s="1"/>
  <c r="G64" i="11"/>
  <c r="D30" i="11" s="1"/>
  <c r="D29" i="11" s="1"/>
  <c r="D64" i="11"/>
  <c r="C30" i="11" s="1"/>
  <c r="C29" i="11" s="1"/>
  <c r="H40" i="11"/>
  <c r="G39" i="11"/>
  <c r="F39" i="11"/>
  <c r="E39" i="11"/>
  <c r="D39" i="11"/>
  <c r="C39" i="11"/>
  <c r="H38" i="11"/>
  <c r="G37" i="11"/>
  <c r="F37" i="11"/>
  <c r="E37" i="11"/>
  <c r="D37" i="11"/>
  <c r="C37" i="11"/>
  <c r="G36" i="11"/>
  <c r="F36" i="11"/>
  <c r="E36" i="11"/>
  <c r="D36" i="11"/>
  <c r="C36" i="11"/>
  <c r="H32" i="11"/>
  <c r="H31" i="11"/>
  <c r="G29" i="11"/>
  <c r="H21" i="11"/>
  <c r="H20" i="11"/>
  <c r="H19" i="11"/>
  <c r="G18" i="11"/>
  <c r="F18" i="11"/>
  <c r="E18" i="11"/>
  <c r="D18" i="11"/>
  <c r="C18" i="11"/>
  <c r="G15" i="11"/>
  <c r="F15" i="11"/>
  <c r="E15" i="11"/>
  <c r="D15" i="11"/>
  <c r="C15" i="11"/>
  <c r="M68" i="11" l="1"/>
  <c r="D14" i="11"/>
  <c r="E14" i="11"/>
  <c r="F14" i="11"/>
  <c r="H36" i="11"/>
  <c r="G14" i="11"/>
  <c r="H37" i="11"/>
  <c r="E29" i="11"/>
  <c r="H30" i="11"/>
  <c r="H29" i="11" s="1"/>
  <c r="C14" i="11"/>
  <c r="D34" i="11"/>
  <c r="D33" i="11" s="1"/>
  <c r="D28" i="11" s="1"/>
  <c r="H18" i="11"/>
  <c r="H15" i="11"/>
  <c r="H39" i="11"/>
  <c r="C33" i="11"/>
  <c r="C28" i="11" s="1"/>
  <c r="M71" i="11"/>
  <c r="J76" i="11"/>
  <c r="M76" i="11" s="1"/>
  <c r="J91" i="11"/>
  <c r="E35" i="11" s="1"/>
  <c r="H35" i="11" s="1"/>
  <c r="D63" i="11"/>
  <c r="I10" i="2"/>
  <c r="H4" i="2"/>
  <c r="J67" i="11" l="1"/>
  <c r="M67" i="11"/>
  <c r="M63" i="11" s="1"/>
  <c r="H14" i="11"/>
  <c r="D6" i="11" s="1"/>
  <c r="G63" i="11"/>
  <c r="M66" i="7"/>
  <c r="M65" i="7" s="1"/>
  <c r="F31" i="7" s="1"/>
  <c r="J66" i="7"/>
  <c r="G66" i="7"/>
  <c r="D66" i="7"/>
  <c r="M79" i="10"/>
  <c r="J80" i="10"/>
  <c r="M80" i="10" s="1"/>
  <c r="J79" i="10"/>
  <c r="J78" i="10"/>
  <c r="M78" i="10" s="1"/>
  <c r="G77" i="10"/>
  <c r="J77" i="10" s="1"/>
  <c r="M77" i="10" s="1"/>
  <c r="G76" i="10"/>
  <c r="J76" i="10" s="1"/>
  <c r="M76" i="10" s="1"/>
  <c r="G75" i="10"/>
  <c r="G73" i="9"/>
  <c r="J73" i="9" s="1"/>
  <c r="M73" i="9" s="1"/>
  <c r="G72" i="9"/>
  <c r="J72" i="9" s="1"/>
  <c r="M72" i="9" s="1"/>
  <c r="G71" i="9"/>
  <c r="J71" i="9"/>
  <c r="M71" i="9" s="1"/>
  <c r="G70" i="9"/>
  <c r="J70" i="9" s="1"/>
  <c r="M70" i="9" s="1"/>
  <c r="G69" i="9"/>
  <c r="J69" i="9" s="1"/>
  <c r="M69" i="9" s="1"/>
  <c r="G68" i="9"/>
  <c r="J68" i="9" s="1"/>
  <c r="M68" i="9" s="1"/>
  <c r="G67" i="9"/>
  <c r="J67" i="9" s="1"/>
  <c r="M67" i="9" s="1"/>
  <c r="G66" i="9"/>
  <c r="J66" i="9" s="1"/>
  <c r="M66" i="9" s="1"/>
  <c r="J59" i="8"/>
  <c r="M59" i="8" s="1"/>
  <c r="J67" i="8"/>
  <c r="M67" i="8" s="1"/>
  <c r="J66" i="8"/>
  <c r="M66" i="8" s="1"/>
  <c r="J65" i="8"/>
  <c r="M65" i="8" s="1"/>
  <c r="J64" i="8"/>
  <c r="M64" i="8" s="1"/>
  <c r="J63" i="8"/>
  <c r="M63" i="8" s="1"/>
  <c r="J62" i="8"/>
  <c r="M62" i="8" s="1"/>
  <c r="J61" i="8"/>
  <c r="M61" i="8" s="1"/>
  <c r="G58" i="8"/>
  <c r="D30" i="8" s="1"/>
  <c r="G64" i="7"/>
  <c r="J64" i="7" s="1"/>
  <c r="M64" i="7" s="1"/>
  <c r="G63" i="7"/>
  <c r="J63" i="7" s="1"/>
  <c r="M63" i="7" s="1"/>
  <c r="G62" i="7"/>
  <c r="J62" i="7" s="1"/>
  <c r="M62" i="7" s="1"/>
  <c r="G61" i="7"/>
  <c r="J61" i="7" s="1"/>
  <c r="J61" i="6"/>
  <c r="M61" i="6" s="1"/>
  <c r="J60" i="6"/>
  <c r="M60" i="6" s="1"/>
  <c r="J59" i="6"/>
  <c r="M59" i="6" s="1"/>
  <c r="J58" i="6"/>
  <c r="M58" i="6" s="1"/>
  <c r="J57" i="6"/>
  <c r="M57" i="6" s="1"/>
  <c r="J56" i="6"/>
  <c r="D37" i="9"/>
  <c r="E37" i="9" s="1"/>
  <c r="D36" i="9"/>
  <c r="E36" i="9" s="1"/>
  <c r="F36" i="9" s="1"/>
  <c r="D35" i="9"/>
  <c r="H30" i="9"/>
  <c r="D21" i="9"/>
  <c r="E21" i="9" s="1"/>
  <c r="F21" i="9" s="1"/>
  <c r="G21" i="9" s="1"/>
  <c r="D19" i="9"/>
  <c r="E19" i="9"/>
  <c r="F19" i="9" s="1"/>
  <c r="G19" i="9" s="1"/>
  <c r="D65" i="9"/>
  <c r="C33" i="9" s="1"/>
  <c r="D33" i="8"/>
  <c r="E33" i="8" s="1"/>
  <c r="D32" i="8"/>
  <c r="E32" i="8" s="1"/>
  <c r="D20" i="9"/>
  <c r="E20" i="9" s="1"/>
  <c r="D18" i="8"/>
  <c r="E18" i="8" s="1"/>
  <c r="D58" i="8"/>
  <c r="C30" i="8" s="1"/>
  <c r="O7" i="2" s="1"/>
  <c r="E35" i="9"/>
  <c r="F35" i="9" s="1"/>
  <c r="G35" i="9" s="1"/>
  <c r="D19" i="8"/>
  <c r="E19" i="8" s="1"/>
  <c r="F19" i="8" s="1"/>
  <c r="G19" i="8" s="1"/>
  <c r="M68" i="8"/>
  <c r="F31" i="8" s="1"/>
  <c r="Y7" i="2" s="1"/>
  <c r="J68" i="8"/>
  <c r="E31" i="8" s="1"/>
  <c r="V7" i="2" s="1"/>
  <c r="G68" i="8"/>
  <c r="D31" i="8" s="1"/>
  <c r="S7" i="2" s="1"/>
  <c r="D68" i="8"/>
  <c r="C31" i="8" s="1"/>
  <c r="P7" i="2" s="1"/>
  <c r="M56" i="8"/>
  <c r="F27" i="8" s="1"/>
  <c r="F26" i="8" s="1"/>
  <c r="J56" i="8"/>
  <c r="E27" i="8" s="1"/>
  <c r="G56" i="8"/>
  <c r="D56" i="8"/>
  <c r="C27" i="8"/>
  <c r="N7" i="2" s="1"/>
  <c r="H34" i="8"/>
  <c r="H28" i="8"/>
  <c r="G26" i="8"/>
  <c r="H20" i="8"/>
  <c r="C17" i="8"/>
  <c r="H16" i="8"/>
  <c r="G15" i="8"/>
  <c r="F15" i="8"/>
  <c r="E15" i="8"/>
  <c r="D15" i="8"/>
  <c r="C15" i="8"/>
  <c r="C14" i="8" s="1"/>
  <c r="H15" i="8"/>
  <c r="M70" i="7"/>
  <c r="J70" i="7"/>
  <c r="G70" i="7"/>
  <c r="D70" i="7"/>
  <c r="D34" i="7"/>
  <c r="E34" i="7" s="1"/>
  <c r="D33" i="7"/>
  <c r="E33" i="7" s="1"/>
  <c r="F33" i="7" s="1"/>
  <c r="G62" i="6"/>
  <c r="D29" i="6" s="1"/>
  <c r="D62" i="6"/>
  <c r="C29" i="6" s="1"/>
  <c r="D55" i="6"/>
  <c r="C28" i="6" s="1"/>
  <c r="D53" i="6"/>
  <c r="C25" i="6" s="1"/>
  <c r="H30" i="6"/>
  <c r="H26" i="6"/>
  <c r="H18" i="6"/>
  <c r="H17" i="6" s="1"/>
  <c r="H14" i="6" s="1"/>
  <c r="D6" i="6" s="1"/>
  <c r="G17" i="6"/>
  <c r="C17" i="6"/>
  <c r="E17" i="6"/>
  <c r="D17" i="6"/>
  <c r="D14" i="6" s="1"/>
  <c r="H16" i="6"/>
  <c r="G15" i="6"/>
  <c r="G14" i="6" s="1"/>
  <c r="F15" i="6"/>
  <c r="E15" i="6"/>
  <c r="D15" i="6"/>
  <c r="C15" i="6"/>
  <c r="H15" i="6"/>
  <c r="C14" i="6"/>
  <c r="C24" i="6"/>
  <c r="M53" i="6"/>
  <c r="J53" i="6"/>
  <c r="E25" i="6" s="1"/>
  <c r="F17" i="6"/>
  <c r="D25" i="6"/>
  <c r="Q5" i="2" s="1"/>
  <c r="F25" i="6"/>
  <c r="F24" i="6" s="1"/>
  <c r="G43" i="10"/>
  <c r="F43" i="10"/>
  <c r="E43" i="10"/>
  <c r="D43" i="10"/>
  <c r="C43" i="10"/>
  <c r="F42" i="10"/>
  <c r="G42" i="10"/>
  <c r="C42" i="10"/>
  <c r="H42" i="10" s="1"/>
  <c r="G24" i="10"/>
  <c r="F24" i="10"/>
  <c r="E24" i="10"/>
  <c r="D24" i="10"/>
  <c r="D19" i="10" s="1"/>
  <c r="C24" i="10"/>
  <c r="F23" i="10"/>
  <c r="G23" i="10"/>
  <c r="G19" i="10" s="1"/>
  <c r="G14" i="10" s="1"/>
  <c r="C23" i="10"/>
  <c r="H23" i="10" s="1"/>
  <c r="J83" i="10"/>
  <c r="M83" i="10"/>
  <c r="J84" i="10"/>
  <c r="M84" i="10"/>
  <c r="J85" i="10"/>
  <c r="M85" i="10"/>
  <c r="J86" i="10"/>
  <c r="M86" i="10" s="1"/>
  <c r="J71" i="10"/>
  <c r="M71" i="10" s="1"/>
  <c r="G72" i="10"/>
  <c r="J72" i="10"/>
  <c r="M72" i="10" s="1"/>
  <c r="G70" i="10"/>
  <c r="J70" i="10" s="1"/>
  <c r="M70" i="10" s="1"/>
  <c r="G82" i="10"/>
  <c r="J82" i="10"/>
  <c r="M82" i="10" s="1"/>
  <c r="G69" i="10"/>
  <c r="J69" i="10" s="1"/>
  <c r="D74" i="10"/>
  <c r="C37" i="10" s="1"/>
  <c r="O9" i="2" s="1"/>
  <c r="H17" i="10"/>
  <c r="D60" i="7"/>
  <c r="C30" i="7"/>
  <c r="O6" i="2"/>
  <c r="M58" i="7"/>
  <c r="F27" i="7" s="1"/>
  <c r="J58" i="7"/>
  <c r="E27" i="7" s="1"/>
  <c r="G58" i="7"/>
  <c r="D27" i="7" s="1"/>
  <c r="D58" i="7"/>
  <c r="C32" i="7"/>
  <c r="H28" i="7"/>
  <c r="G26" i="7"/>
  <c r="D20" i="7"/>
  <c r="D19" i="7"/>
  <c r="E19" i="7" s="1"/>
  <c r="D18" i="7"/>
  <c r="D17" i="7" s="1"/>
  <c r="D14" i="7" s="1"/>
  <c r="E18" i="7"/>
  <c r="E32" i="7" s="1"/>
  <c r="C17" i="7"/>
  <c r="H16" i="7"/>
  <c r="H15" i="7"/>
  <c r="G15" i="7"/>
  <c r="F15" i="7"/>
  <c r="E15" i="7"/>
  <c r="D15" i="7"/>
  <c r="C15" i="7"/>
  <c r="C14" i="7"/>
  <c r="G65" i="7"/>
  <c r="J65" i="7"/>
  <c r="E31" i="7" s="1"/>
  <c r="V6" i="2" s="1"/>
  <c r="E20" i="7"/>
  <c r="F20" i="7" s="1"/>
  <c r="G20" i="7" s="1"/>
  <c r="C27" i="7"/>
  <c r="N6" i="2" s="1"/>
  <c r="D32" i="7"/>
  <c r="F18" i="7"/>
  <c r="G18" i="7" s="1"/>
  <c r="G32" i="7" s="1"/>
  <c r="J81" i="10"/>
  <c r="E38" i="10" s="1"/>
  <c r="G81" i="10"/>
  <c r="D81" i="10"/>
  <c r="G68" i="10"/>
  <c r="D32" i="10" s="1"/>
  <c r="Q9" i="2" s="1"/>
  <c r="D68" i="10"/>
  <c r="H44" i="10"/>
  <c r="H41" i="10"/>
  <c r="H40" i="10"/>
  <c r="H39" i="10"/>
  <c r="H35" i="10"/>
  <c r="H34" i="10"/>
  <c r="H33" i="10"/>
  <c r="H25" i="10"/>
  <c r="H22" i="10"/>
  <c r="H21" i="10"/>
  <c r="H20" i="10"/>
  <c r="F19" i="10"/>
  <c r="F14" i="10" s="1"/>
  <c r="E19" i="10"/>
  <c r="H18" i="10"/>
  <c r="H16" i="10"/>
  <c r="G15" i="10"/>
  <c r="F15" i="10"/>
  <c r="E15" i="10"/>
  <c r="D15" i="10"/>
  <c r="D14" i="10" s="1"/>
  <c r="C15" i="10"/>
  <c r="M75" i="9"/>
  <c r="F34" i="9" s="1"/>
  <c r="Y8" i="2" s="1"/>
  <c r="J75" i="9"/>
  <c r="E34" i="9" s="1"/>
  <c r="V8" i="2" s="1"/>
  <c r="G75" i="9"/>
  <c r="D34" i="9" s="1"/>
  <c r="D75" i="9"/>
  <c r="C34" i="9"/>
  <c r="M61" i="9"/>
  <c r="F29" i="9" s="1"/>
  <c r="F28" i="9" s="1"/>
  <c r="J61" i="9"/>
  <c r="E29" i="9" s="1"/>
  <c r="G61" i="9"/>
  <c r="D61" i="9"/>
  <c r="H38" i="9"/>
  <c r="H31" i="9"/>
  <c r="G28" i="9"/>
  <c r="H22" i="9"/>
  <c r="C18" i="9"/>
  <c r="H17" i="9"/>
  <c r="H16" i="9"/>
  <c r="H15" i="9" s="1"/>
  <c r="G15" i="9"/>
  <c r="F15" i="9"/>
  <c r="E15" i="9"/>
  <c r="D15" i="9"/>
  <c r="C15" i="9"/>
  <c r="C14" i="9" s="1"/>
  <c r="D29" i="9"/>
  <c r="Q8" i="2" s="1"/>
  <c r="H15" i="10"/>
  <c r="C38" i="10"/>
  <c r="D38" i="10"/>
  <c r="S9" i="2"/>
  <c r="P9" i="2"/>
  <c r="T8" i="2"/>
  <c r="E28" i="9"/>
  <c r="F33" i="8"/>
  <c r="H33" i="8" s="1"/>
  <c r="G33" i="8"/>
  <c r="C26" i="8"/>
  <c r="F32" i="8"/>
  <c r="G32" i="8" s="1"/>
  <c r="D27" i="8"/>
  <c r="H19" i="9"/>
  <c r="P8" i="2"/>
  <c r="H35" i="9"/>
  <c r="F20" i="9"/>
  <c r="F37" i="9"/>
  <c r="G37" i="9"/>
  <c r="W7" i="2"/>
  <c r="Q7" i="2"/>
  <c r="D26" i="8"/>
  <c r="F34" i="11" l="1"/>
  <c r="F33" i="11" s="1"/>
  <c r="F28" i="11" s="1"/>
  <c r="D60" i="9"/>
  <c r="D57" i="9" s="1"/>
  <c r="C29" i="8"/>
  <c r="C25" i="8" s="1"/>
  <c r="D29" i="8"/>
  <c r="D25" i="8" s="1"/>
  <c r="R7" i="2"/>
  <c r="S8" i="2"/>
  <c r="H34" i="9"/>
  <c r="T7" i="2"/>
  <c r="E26" i="8"/>
  <c r="F18" i="8"/>
  <c r="E17" i="8"/>
  <c r="E14" i="8" s="1"/>
  <c r="D26" i="7"/>
  <c r="Q6" i="2"/>
  <c r="H32" i="7"/>
  <c r="O8" i="2"/>
  <c r="C32" i="9"/>
  <c r="H21" i="9"/>
  <c r="D17" i="8"/>
  <c r="D14" i="8" s="1"/>
  <c r="C26" i="7"/>
  <c r="C19" i="10"/>
  <c r="C14" i="10" s="1"/>
  <c r="H18" i="7"/>
  <c r="G25" i="6"/>
  <c r="G24" i="6" s="1"/>
  <c r="H43" i="10"/>
  <c r="D65" i="7"/>
  <c r="C31" i="7" s="1"/>
  <c r="H37" i="9"/>
  <c r="J60" i="8"/>
  <c r="J58" i="8" s="1"/>
  <c r="J55" i="8" s="1"/>
  <c r="G20" i="9"/>
  <c r="G18" i="9" s="1"/>
  <c r="G14" i="9" s="1"/>
  <c r="G29" i="8"/>
  <c r="G25" i="8" s="1"/>
  <c r="E14" i="10"/>
  <c r="E14" i="6"/>
  <c r="F18" i="9"/>
  <c r="F14" i="9" s="1"/>
  <c r="D28" i="9"/>
  <c r="H19" i="8"/>
  <c r="D18" i="9"/>
  <c r="D14" i="9" s="1"/>
  <c r="M65" i="9"/>
  <c r="F33" i="9" s="1"/>
  <c r="M81" i="10"/>
  <c r="F38" i="10" s="1"/>
  <c r="G38" i="10" s="1"/>
  <c r="H38" i="10" s="1"/>
  <c r="E18" i="9"/>
  <c r="E14" i="9" s="1"/>
  <c r="G65" i="9"/>
  <c r="D33" i="9" s="1"/>
  <c r="R8" i="2" s="1"/>
  <c r="K8" i="2" s="1"/>
  <c r="H27" i="8"/>
  <c r="H26" i="8" s="1"/>
  <c r="C36" i="10"/>
  <c r="C29" i="9"/>
  <c r="C28" i="9" s="1"/>
  <c r="F32" i="7"/>
  <c r="G60" i="7"/>
  <c r="D30" i="7" s="1"/>
  <c r="R6" i="2" s="1"/>
  <c r="F14" i="6"/>
  <c r="J63" i="11"/>
  <c r="E34" i="11"/>
  <c r="D55" i="8"/>
  <c r="D52" i="8" s="1"/>
  <c r="H31" i="8"/>
  <c r="G55" i="6"/>
  <c r="D28" i="6" s="1"/>
  <c r="R5" i="2" s="1"/>
  <c r="K5" i="2" s="1"/>
  <c r="D24" i="6"/>
  <c r="K7" i="2"/>
  <c r="J7" i="2"/>
  <c r="D32" i="9"/>
  <c r="C29" i="7"/>
  <c r="D67" i="10"/>
  <c r="D64" i="10" s="1"/>
  <c r="C32" i="10"/>
  <c r="H24" i="10"/>
  <c r="G12" i="10"/>
  <c r="H32" i="8"/>
  <c r="G36" i="9"/>
  <c r="G32" i="9" s="1"/>
  <c r="G27" i="9" s="1"/>
  <c r="D31" i="10"/>
  <c r="M69" i="10"/>
  <c r="M68" i="10" s="1"/>
  <c r="J68" i="10"/>
  <c r="H19" i="10"/>
  <c r="H25" i="6"/>
  <c r="H24" i="6" s="1"/>
  <c r="N5" i="2"/>
  <c r="E26" i="7"/>
  <c r="H27" i="7"/>
  <c r="H26" i="7" s="1"/>
  <c r="T6" i="2"/>
  <c r="Y9" i="2"/>
  <c r="O5" i="2"/>
  <c r="C27" i="6"/>
  <c r="C23" i="6" s="1"/>
  <c r="G33" i="7"/>
  <c r="H33" i="7" s="1"/>
  <c r="D29" i="7"/>
  <c r="D25" i="7" s="1"/>
  <c r="F19" i="7"/>
  <c r="E17" i="7"/>
  <c r="E14" i="7" s="1"/>
  <c r="F26" i="7"/>
  <c r="W6" i="2"/>
  <c r="T5" i="2"/>
  <c r="E24" i="6"/>
  <c r="P5" i="2"/>
  <c r="J60" i="7"/>
  <c r="M61" i="7"/>
  <c r="M60" i="7" s="1"/>
  <c r="P6" i="2"/>
  <c r="J6" i="2" s="1"/>
  <c r="W8" i="2"/>
  <c r="J65" i="9"/>
  <c r="H20" i="7"/>
  <c r="M56" i="6"/>
  <c r="M55" i="6" s="1"/>
  <c r="J55" i="6"/>
  <c r="H14" i="10"/>
  <c r="D6" i="10" s="1"/>
  <c r="V9" i="2"/>
  <c r="G31" i="7"/>
  <c r="Y6" i="2"/>
  <c r="G57" i="7"/>
  <c r="D31" i="7"/>
  <c r="S6" i="2" s="1"/>
  <c r="F34" i="7"/>
  <c r="G34" i="7" s="1"/>
  <c r="H12" i="10"/>
  <c r="D52" i="6"/>
  <c r="G74" i="10"/>
  <c r="W5" i="2"/>
  <c r="D57" i="7"/>
  <c r="G55" i="8"/>
  <c r="J75" i="10"/>
  <c r="C2" i="11" l="1"/>
  <c r="G34" i="11"/>
  <c r="G33" i="11" s="1"/>
  <c r="G28" i="11" s="1"/>
  <c r="C27" i="9"/>
  <c r="M60" i="9"/>
  <c r="G60" i="9"/>
  <c r="E30" i="8"/>
  <c r="E29" i="8" s="1"/>
  <c r="E25" i="8" s="1"/>
  <c r="M60" i="8"/>
  <c r="M58" i="8" s="1"/>
  <c r="F30" i="8" s="1"/>
  <c r="H20" i="9"/>
  <c r="H18" i="9" s="1"/>
  <c r="H14" i="9" s="1"/>
  <c r="D6" i="9" s="1"/>
  <c r="G18" i="8"/>
  <c r="F17" i="8"/>
  <c r="F14" i="8" s="1"/>
  <c r="D27" i="9"/>
  <c r="H34" i="7"/>
  <c r="C25" i="7"/>
  <c r="N8" i="2"/>
  <c r="J8" i="2" s="1"/>
  <c r="H29" i="9"/>
  <c r="H28" i="9" s="1"/>
  <c r="E33" i="11"/>
  <c r="E28" i="11" s="1"/>
  <c r="D27" i="6"/>
  <c r="D23" i="6" s="1"/>
  <c r="G52" i="6"/>
  <c r="J5" i="2"/>
  <c r="N9" i="2"/>
  <c r="J9" i="2" s="1"/>
  <c r="C31" i="10"/>
  <c r="C30" i="10" s="1"/>
  <c r="H31" i="7"/>
  <c r="K6" i="2"/>
  <c r="H36" i="9"/>
  <c r="F32" i="9"/>
  <c r="F27" i="9" s="1"/>
  <c r="X8" i="2"/>
  <c r="M8" i="2" s="1"/>
  <c r="G67" i="10"/>
  <c r="D37" i="10"/>
  <c r="C2" i="7"/>
  <c r="F30" i="7"/>
  <c r="F29" i="7"/>
  <c r="F25" i="7" s="1"/>
  <c r="M57" i="7"/>
  <c r="F17" i="7"/>
  <c r="F14" i="7" s="1"/>
  <c r="G19" i="7"/>
  <c r="E32" i="10"/>
  <c r="E28" i="6"/>
  <c r="J64" i="6"/>
  <c r="J62" i="6" s="1"/>
  <c r="E29" i="6" s="1"/>
  <c r="I12" i="10"/>
  <c r="E29" i="7"/>
  <c r="E25" i="7" s="1"/>
  <c r="J57" i="7"/>
  <c r="E30" i="7"/>
  <c r="F32" i="10"/>
  <c r="M64" i="6"/>
  <c r="M62" i="6" s="1"/>
  <c r="F29" i="6" s="1"/>
  <c r="F28" i="6"/>
  <c r="E33" i="9"/>
  <c r="J60" i="9"/>
  <c r="M75" i="10"/>
  <c r="M74" i="10" s="1"/>
  <c r="F37" i="10" s="1"/>
  <c r="J74" i="10"/>
  <c r="E37" i="10" s="1"/>
  <c r="H34" i="11" l="1"/>
  <c r="H33" i="11" s="1"/>
  <c r="H28" i="11" s="1"/>
  <c r="D7" i="11" s="1"/>
  <c r="D8" i="11" s="1"/>
  <c r="C2" i="9"/>
  <c r="U7" i="2"/>
  <c r="L7" i="2" s="1"/>
  <c r="M55" i="8"/>
  <c r="C2" i="8" s="1"/>
  <c r="G17" i="8"/>
  <c r="G14" i="8" s="1"/>
  <c r="H18" i="8"/>
  <c r="H17" i="8" s="1"/>
  <c r="H14" i="8" s="1"/>
  <c r="D6" i="8" s="1"/>
  <c r="M52" i="6"/>
  <c r="X5" i="2"/>
  <c r="F27" i="6"/>
  <c r="F23" i="6" s="1"/>
  <c r="G28" i="6"/>
  <c r="H28" i="6" s="1"/>
  <c r="G17" i="7"/>
  <c r="G14" i="7" s="1"/>
  <c r="H19" i="7"/>
  <c r="H17" i="7" s="1"/>
  <c r="H14" i="7" s="1"/>
  <c r="D6" i="7" s="1"/>
  <c r="X7" i="2"/>
  <c r="M7" i="2" s="1"/>
  <c r="F29" i="8"/>
  <c r="F25" i="8" s="1"/>
  <c r="Y5" i="2"/>
  <c r="G29" i="6"/>
  <c r="H29" i="6" s="1"/>
  <c r="H30" i="8"/>
  <c r="H29" i="8" s="1"/>
  <c r="H25" i="8" s="1"/>
  <c r="D7" i="8" s="1"/>
  <c r="D8" i="8" s="1"/>
  <c r="R9" i="2"/>
  <c r="D36" i="10"/>
  <c r="D30" i="10" s="1"/>
  <c r="U9" i="2"/>
  <c r="E36" i="10"/>
  <c r="U6" i="2"/>
  <c r="L6" i="2" s="1"/>
  <c r="V5" i="2"/>
  <c r="X6" i="2"/>
  <c r="M6" i="2" s="1"/>
  <c r="G30" i="7"/>
  <c r="G29" i="7" s="1"/>
  <c r="G25" i="7" s="1"/>
  <c r="W9" i="2"/>
  <c r="G32" i="10"/>
  <c r="G31" i="10" s="1"/>
  <c r="F31" i="10"/>
  <c r="F30" i="10" s="1"/>
  <c r="G37" i="10"/>
  <c r="G36" i="10" s="1"/>
  <c r="X9" i="2"/>
  <c r="F36" i="10"/>
  <c r="U8" i="2"/>
  <c r="L8" i="2" s="1"/>
  <c r="E32" i="9"/>
  <c r="E27" i="9" s="1"/>
  <c r="H33" i="9"/>
  <c r="H32" i="9" s="1"/>
  <c r="H27" i="9" s="1"/>
  <c r="D7" i="9" s="1"/>
  <c r="D8" i="9" s="1"/>
  <c r="J52" i="6"/>
  <c r="E31" i="10"/>
  <c r="T9" i="2"/>
  <c r="H32" i="10"/>
  <c r="H31" i="10" s="1"/>
  <c r="M67" i="10"/>
  <c r="E27" i="6"/>
  <c r="E23" i="6" s="1"/>
  <c r="U5" i="2"/>
  <c r="J67" i="10"/>
  <c r="C2" i="10" l="1"/>
  <c r="G27" i="6"/>
  <c r="G23" i="6" s="1"/>
  <c r="C2" i="6"/>
  <c r="H27" i="6"/>
  <c r="H23" i="6" s="1"/>
  <c r="D7" i="6" s="1"/>
  <c r="D8" i="6" s="1"/>
  <c r="L5" i="2"/>
  <c r="I6" i="2"/>
  <c r="H30" i="7"/>
  <c r="H29" i="7" s="1"/>
  <c r="H25" i="7" s="1"/>
  <c r="D7" i="7" s="1"/>
  <c r="D8" i="7" s="1"/>
  <c r="M9" i="2"/>
  <c r="K9" i="2"/>
  <c r="G30" i="10"/>
  <c r="L9" i="2"/>
  <c r="E30" i="10"/>
  <c r="H37" i="10"/>
  <c r="H36" i="10" s="1"/>
  <c r="H30" i="10" s="1"/>
  <c r="D7" i="10" s="1"/>
  <c r="D8" i="10" s="1"/>
  <c r="M5" i="2"/>
  <c r="I8" i="2"/>
  <c r="I9" i="2" l="1"/>
  <c r="I5" i="2"/>
  <c r="I4" i="2" l="1"/>
</calcChain>
</file>

<file path=xl/sharedStrings.xml><?xml version="1.0" encoding="utf-8"?>
<sst xmlns="http://schemas.openxmlformats.org/spreadsheetml/2006/main" count="1587" uniqueCount="345">
  <si>
    <t>Valitsemisala</t>
  </si>
  <si>
    <t>…</t>
  </si>
  <si>
    <t>Asutus</t>
  </si>
  <si>
    <t>KAIS teenuse kood</t>
  </si>
  <si>
    <t>Prioriteetsus</t>
  </si>
  <si>
    <t>Slaidi nr</t>
  </si>
  <si>
    <t>KOKKU</t>
  </si>
  <si>
    <t>TÄNANE OLUKORD</t>
  </si>
  <si>
    <t>TULEVIKU OLUKORD</t>
  </si>
  <si>
    <t>Vahe (tänane olukord - tuleviku olukord)</t>
  </si>
  <si>
    <t>Kokku</t>
  </si>
  <si>
    <t>Muud kasud:</t>
  </si>
  <si>
    <t>Tegevus</t>
  </si>
  <si>
    <t>-</t>
  </si>
  <si>
    <t>Lühikokkuvõtte (A4)  punkt 6. (Tegevused, ajakava, eelarve)</t>
  </si>
  <si>
    <t>Hetkeolukord</t>
  </si>
  <si>
    <t>Tulemus</t>
  </si>
  <si>
    <t>Kasutaja rahulolu</t>
  </si>
  <si>
    <t>Kasutaja halduskoormus</t>
  </si>
  <si>
    <t>Meetrika selgitus</t>
  </si>
  <si>
    <t>Avalikest e-teenustest teadlike elanike osakaal ettevõtjate hulgas</t>
  </si>
  <si>
    <t>Rahulolu avalike teenuste kvaliteediga ettevõtjate hulgas</t>
  </si>
  <si>
    <t>Ühtse kvaliteedi mõõtmisega hõlmatud e-teenuste osakaal</t>
  </si>
  <si>
    <t>Klientide keskmine ajakulu e-teenuse kasutamisel</t>
  </si>
  <si>
    <t>Toimivate sündmusteenuste arv</t>
  </si>
  <si>
    <t>Eesti avalikus sektoris kasutuselevõetud tehisintellekti rakenduste arv</t>
  </si>
  <si>
    <t>Avalikest e-teenustest teadlike elanike osakaal 16–74-aastaste elanike hulgas</t>
  </si>
  <si>
    <t>Rahulolu avalike teenuste kvaliteediga 16–74-aastaste elanike hulgas</t>
  </si>
  <si>
    <t>Eelarve artikkel</t>
  </si>
  <si>
    <t>Investeering (15) kokku</t>
  </si>
  <si>
    <t>Selgitus</t>
  </si>
  <si>
    <t>Maksumus</t>
  </si>
  <si>
    <t>Lühikokkuvõtte (A4)  punkt 7. (Eeltingimused, riskide tabel)</t>
  </si>
  <si>
    <t>Risk</t>
  </si>
  <si>
    <t>Riski realiseerimise tõenäosus</t>
  </si>
  <si>
    <t>Riski maandamise tegevused</t>
  </si>
  <si>
    <t>Rahastusallikas (olemasolev eelarve, RES lisataoltus, kolmas osapool)</t>
  </si>
  <si>
    <t>sh lisataotlus (15)</t>
  </si>
  <si>
    <t>Lisataotlusega seonduvad kuluread</t>
  </si>
  <si>
    <t>Lisataotluse nimi:</t>
  </si>
  <si>
    <t>RES lisataotluse maksumus:</t>
  </si>
  <si>
    <t xml:space="preserve"> …</t>
  </si>
  <si>
    <t>Lühikokkuvõtte (A4) punktid 2-4 (Tasuvusanalüüs)</t>
  </si>
  <si>
    <t>Tööjõukulu (50) kokku</t>
  </si>
  <si>
    <t>Investeering kokku</t>
  </si>
  <si>
    <t>Jooksev / püsiv ülalpidamine</t>
  </si>
  <si>
    <t>sh arenduskulu ühekordne (väljast tellitav)</t>
  </si>
  <si>
    <t>sh litsentsid</t>
  </si>
  <si>
    <t>Investeering</t>
  </si>
  <si>
    <t>Lisataotluse nimi</t>
  </si>
  <si>
    <t>Tööjõukulu
(50)</t>
  </si>
  <si>
    <t>Investeering
(15)</t>
  </si>
  <si>
    <t xml:space="preserve">Majandamiskulu
(55) </t>
  </si>
  <si>
    <t>IKT strat. suunis</t>
  </si>
  <si>
    <t>Majandamiskulu (55) kokku</t>
  </si>
  <si>
    <t>sh lisataotlus tööjõukulu (50)</t>
  </si>
  <si>
    <t>sh lisataotlus majandamiskulu (55)</t>
  </si>
  <si>
    <t>Tuua välja mõõdetaval kujul ning kirjeldada kuidas ja millistesse infoühiskonna arengukava alameesmärgi „Nutikam riigivalitsemine“ mõõdikutesse projekt panustab.
Võimalusel tuua välja muud sotsiaal- või majanduslikud näitajad, millesse panustab.</t>
  </si>
  <si>
    <t xml:space="preserve">TÄNANE OLUKORD "Praegu" </t>
  </si>
  <si>
    <t>TULEVIKU OLUKORD "Tulevik, kui lisataotlus rahuldatakse"</t>
  </si>
  <si>
    <t>Mõju 5 aasta pärast / jooksul</t>
  </si>
  <si>
    <t>Riskijuht / vastutaja</t>
  </si>
  <si>
    <t>Lisataotluse maht kokku</t>
  </si>
  <si>
    <t>Riski realiseerumise mõju projekti eesmärkide täitmisele</t>
  </si>
  <si>
    <t>Palgakulu</t>
  </si>
  <si>
    <t>Lisataotluse maksumuse arvutab valem kokku "Lühikokkuvõtte (A4)  punkt 6. (Tegevused, ajakava, eelarve)" tabelist.</t>
  </si>
  <si>
    <t>Sotsiaalministeerium</t>
  </si>
  <si>
    <t>Tervise ja Heaolu Infosüsteemide Keskus</t>
  </si>
  <si>
    <t>Infoturbe tagamine</t>
  </si>
  <si>
    <t>Tervise infosüsteemi teenuste jätkusuutlikkuse tagamine</t>
  </si>
  <si>
    <t>Sotsiaalkaitse valdkonna andmekogude baasrahastuse tagamine</t>
  </si>
  <si>
    <t>Litsentsikulud</t>
  </si>
  <si>
    <t>sh auditid</t>
  </si>
  <si>
    <t>Sotsiaalkaitse valdkonna andmekogude TEHIK haldusesse ja majutusse toomine</t>
  </si>
  <si>
    <t>Projekti eesmärk jääb täitmata.</t>
  </si>
  <si>
    <t>Infoturbeosakond</t>
  </si>
  <si>
    <t>keskmine</t>
  </si>
  <si>
    <t>Keskmine</t>
  </si>
  <si>
    <t>Suur</t>
  </si>
  <si>
    <t>14/2 päeva</t>
  </si>
  <si>
    <t>7/1 päeva</t>
  </si>
  <si>
    <t>Intsidentide lahendamisele kuluv aeg päevades/korduvate intsidentide lahendamiseks kuluv aeg päevades.</t>
  </si>
  <si>
    <t>2-4 tk</t>
  </si>
  <si>
    <t>30 tk</t>
  </si>
  <si>
    <t xml:space="preserve">Infosüsteemide arv, kus tuvastatakse tavapärasest erinevate tegevuste mustrid. </t>
  </si>
  <si>
    <t>30 päeva</t>
  </si>
  <si>
    <t>25 päeva</t>
  </si>
  <si>
    <t>24h-48h</t>
  </si>
  <si>
    <t>12h-24h</t>
  </si>
  <si>
    <t>Infoturbeteenuste katkestuste aeg tundides aastas.</t>
  </si>
  <si>
    <t>60%-70%</t>
  </si>
  <si>
    <t>80%-90%</t>
  </si>
  <si>
    <t>Kui suure osa (protsentides) infoturbe intsidentidest suudame ära hoida.</t>
  </si>
  <si>
    <t>Turvasündmuste tuvastamine masinõppe abil.</t>
  </si>
  <si>
    <t>Masinõpe  suudab tuvastada kõrvalekaldeid 2-3 süsteemi andmetest.</t>
  </si>
  <si>
    <t>Masinõppe abil on automatiseeritud protsess turvasündmuste õigeaegseks tuvastamiseks vähemalt 30 süsteemis.</t>
  </si>
  <si>
    <t>Rajatud on automaatsed protsessid turvasündmuste tuvastamiseks ja neile reageerimiseks.</t>
  </si>
  <si>
    <t>Seadusvastavuse puudumine.</t>
  </si>
  <si>
    <t>Nõutetekohase (EL, ISKE nõuded) turvasündmuste haldussüsteemi rajamine.
Õigeaegste auditite läbiviimine.</t>
  </si>
  <si>
    <t>Turvasündmuste haldussüsteemi soetamata jätmine.</t>
  </si>
  <si>
    <t xml:space="preserve">Turvasündmuseid ei tuvastata: õnnestunud rünne, andmeleke, mainekahju.
Tasuta komponentidest süsteemi korral personali lahkumisel süsteemi töö katkeb.
</t>
  </si>
  <si>
    <t xml:space="preserve">Nõuetekohase turvasündmuste haldussüsteemi pidamine rünnete ära hoidmiseks, turvasündmuste tuvastamiseks.
</t>
  </si>
  <si>
    <t>Puudub piisav personal turvasündmuste süsteemi pidamiseks.</t>
  </si>
  <si>
    <t>Turvasündmusi ei jõuta analüüsida.</t>
  </si>
  <si>
    <t>Täiendava personali kaasamine (2 in).</t>
  </si>
  <si>
    <t>STAR</t>
  </si>
  <si>
    <t>SKAIS2</t>
  </si>
  <si>
    <t>RES lisataotlus</t>
  </si>
  <si>
    <t>sh SKAIS1 väikearendused</t>
  </si>
  <si>
    <t>sh STAR väikearendused</t>
  </si>
  <si>
    <t>IKT teenuste tugi 3 (STAR)</t>
  </si>
  <si>
    <t>IKT projektijuhtimine 3 (STAR)</t>
  </si>
  <si>
    <t>IKT süsteemiarhitektuur 2 (STAR)</t>
  </si>
  <si>
    <t>IKT süsteemiarhitektuur 3 (SKAIS2) - palgatud, alates 2023 puudub rahastus</t>
  </si>
  <si>
    <t>IKT teenuste tugi 3 (SKAIS2) - palgatud, alates 2023 puudub rahastus</t>
  </si>
  <si>
    <t>Väikearendused</t>
  </si>
  <si>
    <t>RINA - Euroopa Komisjon annab TEHIK haldusesse 2022</t>
  </si>
  <si>
    <t>RINA</t>
  </si>
  <si>
    <t>Hooldus</t>
  </si>
  <si>
    <t>SKAIS1</t>
  </si>
  <si>
    <t>Majutus</t>
  </si>
  <si>
    <t>STAR - rahastus puudub alates 2023</t>
  </si>
  <si>
    <t>Haldusteenus</t>
  </si>
  <si>
    <t>VV reserv</t>
  </si>
  <si>
    <t>sh SKAIS2/EBS väikearendused</t>
  </si>
  <si>
    <t>sh tööjõukulud</t>
  </si>
  <si>
    <t>sh STARi hooldus, haldus, majutus</t>
  </si>
  <si>
    <t>sh SKAIS2/EBS hooldus, haldus, majutus</t>
  </si>
  <si>
    <t>sh SKAIS1 hooldus, haldus, majutus</t>
  </si>
  <si>
    <t>Olemasolev eelarve</t>
  </si>
  <si>
    <t>sh S ja H veeb, AIS haldus, hooldus</t>
  </si>
  <si>
    <t>Rahastuse ebapiisavus</t>
  </si>
  <si>
    <t>tõenäoline</t>
  </si>
  <si>
    <t>SKA/TEHIK</t>
  </si>
  <si>
    <t>oluline / ei ole võimalik tagada andmekogude Skais ja STAR töökindlust</t>
  </si>
  <si>
    <t>Seadusandlusele mittevastavus</t>
  </si>
  <si>
    <t>oluline / ei ole võimalik teostada vajalikke arendusi seadusemuudatuste jõustumisel (pensionid, toetused jne)</t>
  </si>
  <si>
    <t>Rahastuse taotlemine RES, SF, VV reserv</t>
  </si>
  <si>
    <t>Tegemist on jätkusuutlikkuse tagamise taotlusega, ei ole projekti iseloomuga</t>
  </si>
  <si>
    <t>Serverite soetus</t>
  </si>
  <si>
    <t>Migreerimine</t>
  </si>
  <si>
    <t>Majutuse tasude vähenemine</t>
  </si>
  <si>
    <t>Majutuse maksumus 458 300, ülejäänud kokkuhoid 31 500 suunatakse sotsiaalkaitse valdkonna baasrahastusse</t>
  </si>
  <si>
    <t>Majutuse maksumus 458 300, ülejäänud kokkuhoid 59 600 suunatakse sotsiaalkaitse valdkonna baasrahastusse</t>
  </si>
  <si>
    <t>IKT süsteemiadministratsioon 3</t>
  </si>
  <si>
    <t>IKT andmebaasiadministratsioon 2</t>
  </si>
  <si>
    <t>IKT andmebaasiadministratsioon 3</t>
  </si>
  <si>
    <t>Sotsiaalministeeriumi valitsemisala KOKKU</t>
  </si>
  <si>
    <t>IKT andmeturve 3B  - rahastus puudub al 2022</t>
  </si>
  <si>
    <t>IKT andmeturve 3B  - rahastus puudub al 2023</t>
  </si>
  <si>
    <t>IKT andmeturve 3B  - uus ametikoht</t>
  </si>
  <si>
    <t>Auditid</t>
  </si>
  <si>
    <t>Tootetoed</t>
  </si>
  <si>
    <t>Ründeturvamooduli soetus (eelmine soetatud 2019)</t>
  </si>
  <si>
    <t>Modulaarse viirusetõjre lahenduse litsents, SecurityCenter, F-Responsed</t>
  </si>
  <si>
    <t>Rent</t>
  </si>
  <si>
    <t>Infosüsteemide turvasündmuste analüüsisüsteemi lahendus</t>
  </si>
  <si>
    <t>sh infoturbe personal 3 inimest</t>
  </si>
  <si>
    <t>valve- ja läbipääsusüsteemi hooldus</t>
  </si>
  <si>
    <t>ISKE, eriauditid</t>
  </si>
  <si>
    <t>Ründetuvastus-mooduli tootetugi</t>
  </si>
  <si>
    <t>T80-SKAIS1, T80-SKAIS2, T80-STAR, T80-RINA</t>
  </si>
  <si>
    <t>T80-TIKS, T80-UPTIS</t>
  </si>
  <si>
    <t>T80-INFOT</t>
  </si>
  <si>
    <t>T80-SKAIS1, T80-SKAIS2, T80-STAR</t>
  </si>
  <si>
    <t>küberturve</t>
  </si>
  <si>
    <t>TOP 10 äirteenuste kvaliteet</t>
  </si>
  <si>
    <t>Teenused</t>
  </si>
  <si>
    <t>Tagame võimaluste piires võtmeisikutele asendajad </t>
  </si>
  <si>
    <t>Väike</t>
  </si>
  <si>
    <t>väike</t>
  </si>
  <si>
    <t>IKT süsteemiarhitektuur 3</t>
  </si>
  <si>
    <t>IKT projektijuhtimine 3</t>
  </si>
  <si>
    <t>Analüüsitaotluste omafinantseering</t>
  </si>
  <si>
    <t>RES4</t>
  </si>
  <si>
    <t>RES5</t>
  </si>
  <si>
    <t>RES6</t>
  </si>
  <si>
    <t>RES7</t>
  </si>
  <si>
    <t>RES8</t>
  </si>
  <si>
    <t>sh hoolduskulud</t>
  </si>
  <si>
    <t>Toimiv teenusmonitooring uute teenuste kasutuselevõtul. Tuvastatud intsidentide osakaal 98%?</t>
  </si>
  <si>
    <t>Õiguslike regulatsioonide muudatused dokumentide asemel andmete edastamiseks viibivad</t>
  </si>
  <si>
    <t>Organisatoorsed meetmed juhtrühma näol, kes aitab vajalike muudatuste õigaegselt läbiviimisel</t>
  </si>
  <si>
    <t>TEHIK projektijuht, EHK projektijuht</t>
  </si>
  <si>
    <t>EHK projektijuht</t>
  </si>
  <si>
    <t>Projekti käigus muutub projekti kaasatud isikute koosseis</t>
  </si>
  <si>
    <t>Tellijate ja teiste osapoolte vähene kaastatus ja pikk kokkulepeteni jõudmise aeg</t>
  </si>
  <si>
    <t>Pidev monitooring võtmetegevuste edenemise kohta, vajadusel juhtrühma abi</t>
  </si>
  <si>
    <t>Lisandub veel teenuseid, mis pole rahastusega kaetud</t>
  </si>
  <si>
    <t>uusi teenuseid mitte arendada, kui pole tagatud rahaline kate edasiseks halduseks ja arenduseks</t>
  </si>
  <si>
    <t>TEHIK juhtkond</t>
  </si>
  <si>
    <t xml:space="preserve">EL-i ja siseriiklikust seadusandlusest ulenevad muudatused vajavad suuremat rahastust kui baaseelarve võimaldab </t>
  </si>
  <si>
    <t>Aegsalt informeerida eesootavatest muudatustest, et oleks võimalik rahastust investeeringutest planeerida</t>
  </si>
  <si>
    <t>SOM haldusala tellijad</t>
  </si>
  <si>
    <t>IKT projektijuhtimine 2</t>
  </si>
  <si>
    <t>IKT projektijuhtimine 3 - uus</t>
  </si>
  <si>
    <t>IKT süsteemiarhitektuur 2 - värvatud</t>
  </si>
  <si>
    <t>IKT projektijuhtimine 4 - värvatud</t>
  </si>
  <si>
    <t>IKT projektijuhtimine 3 - värvatud</t>
  </si>
  <si>
    <t>IKT projektijuhtimine 2 - värvatud</t>
  </si>
  <si>
    <t>IKT testimine 3</t>
  </si>
  <si>
    <t>Arendused</t>
  </si>
  <si>
    <t>EL määrtuste rakendamisest tulenevad jooksvad muudatused</t>
  </si>
  <si>
    <t>Hoolduskulud</t>
  </si>
  <si>
    <t>HIK</t>
  </si>
  <si>
    <t>TAI infosüsteemid</t>
  </si>
  <si>
    <t>Veebid (siteimprove)</t>
  </si>
  <si>
    <t>RA infosüsteemid RKAB, KLPO, VTI, ravimiregister, CESP, CTS, EURS</t>
  </si>
  <si>
    <t>TA infosüsteemid MEIS, MSA, veebid</t>
  </si>
  <si>
    <t>sh personal (IKT juhtimine 3 - 0,4 AK, IKT projektijuhtimine 3 - 2 AK)</t>
  </si>
  <si>
    <t>sh personal  (IKT teenuste tugi 3)</t>
  </si>
  <si>
    <t>IKT tootejuhtimine 2</t>
  </si>
  <si>
    <t>Andmeanalüüs ja -seire 3</t>
  </si>
  <si>
    <t>TIS/ Uptis väikearendused</t>
  </si>
  <si>
    <t>Jooksvad õigusruumi muudatused, teenuste täiendused</t>
  </si>
  <si>
    <t>TIS/ Uptis arendused</t>
  </si>
  <si>
    <t>Teenuste edasiarendused</t>
  </si>
  <si>
    <t>sh personal (IKT juhtimine 3 - 0,6AK, IKT süsteemiarhitektuur 3 - 1 AK, IKT teenuste tugi 2 - 0,2 AK, IKT projektijuhtimine 2 - 1 AK, IKT projektijuhtimine 3 - 3 AK, IKT projektijuhtimine 4 - 1AK)</t>
  </si>
  <si>
    <t>sh TIS haldus (litsentsid, majutus)</t>
  </si>
  <si>
    <t>T80-ODOO, T80-RKAB, T80-KLPO, T80-MEIS, T80-MSA jne</t>
  </si>
  <si>
    <t>uute teenuste hooldus</t>
  </si>
  <si>
    <t>personaalmeditsiin</t>
  </si>
  <si>
    <t>digiregistratuur</t>
  </si>
  <si>
    <t>saatekirjad</t>
  </si>
  <si>
    <t>immuniseerimine</t>
  </si>
  <si>
    <t>Kliendi rahulolu</t>
  </si>
  <si>
    <t>Pöördumiste ja intsidentide lahendamiskiirus</t>
  </si>
  <si>
    <t>Mitu kasutajatuge, info edastuskiirus varieerub. Sõltuvus partneri meeskonna valmisolekust, eriti tunda kiirete tarnete/ülesannete osas.</t>
  </si>
  <si>
    <t>Ei sõltu partneri valmidusest, parem ülevaade sõltuvustest, sündmustest</t>
  </si>
  <si>
    <t>Tunneme oma infosüsteemi ja eripärasid, kiirem lahendusaeg, ei sõltu kolmandatest osapooltest</t>
  </si>
  <si>
    <t>Meetrika vajab väljatöötamist</t>
  </si>
  <si>
    <t>Terviklikum teenusmonitooring (sh mahuhaldus ja jõudlus)</t>
  </si>
  <si>
    <t>Majutaja ja haldaja monitooring vastutusala ulatuses, täiendav monitooring TEHIK poolel</t>
  </si>
  <si>
    <t>Teenusmonitooringu lahendus välja töötatud, monitooringu kaudu tuvastatud intsidentide osakaal 90%?</t>
  </si>
  <si>
    <t>Teenuste tarne, haldamise kaasajastamise paindlikkus (CI/CD, IaC, jt kasutuselevõtt)</t>
  </si>
  <si>
    <t>Täna seotud majutaja ja haldaja tööprotsesside ja kasutatavate tehnoloogiate/lahendustega</t>
  </si>
  <si>
    <t>Ei sõltu partneri lahendustest ja tööprotsessidest. Muudatusi sisse viia kiirem, nt: kasutavate tehnoloogiate asendamine , tööprotsesside muutmine</t>
  </si>
  <si>
    <t xml:space="preserve">Kasutatakse kaasaegseid tehnoloogiaid/töövõtteid keskselt ja automatiseeritult. </t>
  </si>
  <si>
    <t>Päevade arv aastas, mis kulub Infoturbeteenuste riist ja tarkvara haldusele.</t>
  </si>
  <si>
    <t>Menetletud infoturbe intsidendid.</t>
  </si>
  <si>
    <t>Tehisintellekti kasutamine turvasündmuste tuvastamisel.</t>
  </si>
  <si>
    <t>Turvasüdnmuste haldussüsteemi halduskoormus.</t>
  </si>
  <si>
    <t>Turvasündmuste haldussüsteemi järjepidevus.</t>
  </si>
  <si>
    <t>Varajane sekkumine turvasündmustesse ning preventiivse komponendi suurendamine.</t>
  </si>
  <si>
    <t>IKT teenuste tugi  (SKAIS2) - palgatud, alates 2023 puudub rahastus</t>
  </si>
  <si>
    <t>Käsitöö hulk ajas kasvab</t>
  </si>
  <si>
    <t>oluline / ei ole võimalik teostada seadusemuudatusi terviklikult, et ei kasvaks käsitöö maht</t>
  </si>
  <si>
    <t>Intsidentide hulk ajas kasvab</t>
  </si>
  <si>
    <t>oluline / taakvara süveneb</t>
  </si>
  <si>
    <t>2 teenust on iseteeninduses (perehüvitused, abivahendid), osaline laekumise info on iseteeninduses</t>
  </si>
  <si>
    <t>olemasoleva taseme säilitamine</t>
  </si>
  <si>
    <t>kliendi tagasiside</t>
  </si>
  <si>
    <t>enamus menetlused on manuaalsed</t>
  </si>
  <si>
    <t>suureneb andmetepõhine automaatmenetluste arv</t>
  </si>
  <si>
    <t>seadusemuudatusi ei suuda infotehnoloogiliselt toetada terviklahendustena</t>
  </si>
  <si>
    <t>terviklike seadusemuudatuste lahendustena ei kasva käsitöö hulk</t>
  </si>
  <si>
    <t>kasutajate halduskoormus langeb</t>
  </si>
  <si>
    <t>manuaalmenetluste arv</t>
  </si>
  <si>
    <t>Puudub võimalus muudatussoovidele piiratud eelarve tõttu vastu tulla</t>
  </si>
  <si>
    <t>On võimekus operatiivselt muudatusvajadustele reageerida</t>
  </si>
  <si>
    <t>Teenuste arendamine TTO-des praregust standardit kasutades keerukas ja aeglane</t>
  </si>
  <si>
    <t>FHIR kasutuselevõtuga lihtsustub arendus</t>
  </si>
  <si>
    <t>Vanast standardist vabanetud, uute loomine kiirem, teenused patsienditele kiiremini kasutatavad</t>
  </si>
  <si>
    <t>Erilahenduste väikem osakaal</t>
  </si>
  <si>
    <t>Väheneb soeses lihtsama teenuste integratsiooniga</t>
  </si>
  <si>
    <t>Standardsed lahendused võimaldavad väksema kuluga juurutust</t>
  </si>
  <si>
    <t>Rahulolu tõuseb , kasutajate tagasiside</t>
  </si>
  <si>
    <t>koormus väheneb , kasutajate tagasiside</t>
  </si>
  <si>
    <t>Olemasolev tase tõuseb</t>
  </si>
  <si>
    <t>Kasutajate tagasiside</t>
  </si>
  <si>
    <t xml:space="preserve">Parem teenuste haldamisvõimekus </t>
  </si>
  <si>
    <t>Ühe töötaja kohta liialt palju teenuseid ja projekte</t>
  </si>
  <si>
    <t>Võrdsemalt ja jõukohaselt jaotunud töökoormus</t>
  </si>
  <si>
    <t>Teenused on nii sisuliselt kui tehniliselt hallatud ja vastavat teenuseomaniku soovitud tasemel</t>
  </si>
  <si>
    <t>Teenuseomanike tagasiside</t>
  </si>
  <si>
    <t>Süsteemi laiendamine litsentsikulude tõttu kallis</t>
  </si>
  <si>
    <t>Üle mindud vabavarlistele komponentidele</t>
  </si>
  <si>
    <t>Vana süsteemi litsentsikuludest oleme vabanenud</t>
  </si>
  <si>
    <t>Lepingud lõpetatud</t>
  </si>
  <si>
    <t>Tervise valdkonna infosüsteemide jätkusuutlikkuse tagamine</t>
  </si>
  <si>
    <t>RES 2022-2025 esitatud tegelikud vajadused</t>
  </si>
  <si>
    <t>T80-TIKS, T80-ALTIS</t>
  </si>
  <si>
    <t>MKM heakskiidetud taotluse maksumus</t>
  </si>
  <si>
    <t>sh Vertica litsentsid</t>
  </si>
  <si>
    <t>sh väikearendused</t>
  </si>
  <si>
    <t>sh personal (IKT juhtimine 4, IKT juhtimine 3, IKT andmeanalüüs 4, IKT juhtimine 2, Andmeanalüüs ja -seire 3 - 4 AK, IKT andmeanalüüs 5 - 2 AK, IKT andmeanalüüs 3)</t>
  </si>
  <si>
    <t>sh persona (IKT süsteemiarhitektuur 3, IKT projektijuhtimine 3, IKT andmeanalüüs 1, IKT süsteemiadministratsioon 1)</t>
  </si>
  <si>
    <t>Välisvahendid</t>
  </si>
  <si>
    <t>Laekunud kaebuste arvu vähenemise suurenemise alusel</t>
  </si>
  <si>
    <t>TEHIK haldab</t>
  </si>
  <si>
    <t>Teenuse juhtumite arv</t>
  </si>
  <si>
    <t>Litsentside arv</t>
  </si>
  <si>
    <t>ei mõjuta</t>
  </si>
  <si>
    <t>ei oloe seotud avalike teenusteega</t>
  </si>
  <si>
    <t>ei oloe seotud ettevõtjatele pakutavate teenusteega</t>
  </si>
  <si>
    <t>kaudne mõju</t>
  </si>
  <si>
    <t>vöimalab hoidaa teenuste operatiivse juhtimise taset</t>
  </si>
  <si>
    <t>säilitab taset</t>
  </si>
  <si>
    <t>väga palju</t>
  </si>
  <si>
    <t>aastas loodavate erinevate analüüside hulk</t>
  </si>
  <si>
    <t>ei rakendata tehisintellekti</t>
  </si>
  <si>
    <t>Paberivaba ametliku suhtluse osakaal kogusuhtlusest</t>
  </si>
  <si>
    <t>kõik toimub juba praegu paberivabalt</t>
  </si>
  <si>
    <t>Puudub jätkuv rahastus tööjõukulude katmiseks, pooled ametikohad on täidetud.</t>
  </si>
  <si>
    <t>IKT masinõpe 3</t>
  </si>
  <si>
    <t>IKT masinõpe 2</t>
  </si>
  <si>
    <t>IKT andmeanalüüs 1</t>
  </si>
  <si>
    <t>Andmeladude hooldus</t>
  </si>
  <si>
    <t>Litsentsid</t>
  </si>
  <si>
    <t>Tableau, SPSS</t>
  </si>
  <si>
    <t>Litsentside pikendus</t>
  </si>
  <si>
    <t>Vertica</t>
  </si>
  <si>
    <t>Teenus</t>
  </si>
  <si>
    <t>FHIR</t>
  </si>
  <si>
    <t>Tarkvara vead ostetud toodetes</t>
  </si>
  <si>
    <t>vähetähtis (A)</t>
  </si>
  <si>
    <t>tarkvara testimine</t>
  </si>
  <si>
    <t>TEHIK</t>
  </si>
  <si>
    <t>Küberrünne</t>
  </si>
  <si>
    <t>raske (C)</t>
  </si>
  <si>
    <t>TEHIK turvameetmete ja rakenduste (vahendite) kasutamine</t>
  </si>
  <si>
    <t>Kasutaja tehtud viga</t>
  </si>
  <si>
    <t>kerge (B)</t>
  </si>
  <si>
    <t>Kontrolli ja automaatse veaparanduse  rakendamien kasutajaliideses</t>
  </si>
  <si>
    <t>Tarkvara arendaja, TEHIK</t>
  </si>
  <si>
    <t>Administreerimisviga</t>
  </si>
  <si>
    <t>Testimine ja seiresüsteemide kasutamine</t>
  </si>
  <si>
    <t>Analüütikute suutmatus litsentse ootuspäraselt kasutada</t>
  </si>
  <si>
    <t>Kompetentsi tõstmine</t>
  </si>
  <si>
    <t>RES9</t>
  </si>
  <si>
    <t>Covid lisavajadused tervise ala (Analüütilise võimekuse säilitamine ja suurendamine)</t>
  </si>
  <si>
    <t>Kõnerobot ja sms-d</t>
  </si>
  <si>
    <t>Covidi tõkestamisest ja vaktrsineerimsega seotud uued lahendused (Odoo, vaktsineerimislahendus jne)</t>
  </si>
  <si>
    <t>Covidi tõekestamisest ja vaktrsineerimsega seotud uued lahendused (Odoo, vaktsineerimislahendus jne)</t>
  </si>
  <si>
    <t>Covid teenused (digiregistratuur, covid tõendid)</t>
  </si>
  <si>
    <t>IKT süsteemiadministratsioon 2</t>
  </si>
  <si>
    <t xml:space="preserve">IKT andmeanalüüs 2 </t>
  </si>
  <si>
    <t>IKT andmeanalüüs 2</t>
  </si>
  <si>
    <t>IKT teenuste tugi 3 - tõendite väljastamine</t>
  </si>
  <si>
    <t>TIS andmelao andmete väärindamine</t>
  </si>
  <si>
    <t>Covid ja andmelaoteenuste väikearendused, juhtimisaruanded</t>
  </si>
  <si>
    <t>Covid teenused (digiregistratuur, covid tõendid, tõendite väljastamine, TA ladu)</t>
  </si>
  <si>
    <t>COVID lisavajadused tervise alal (Analüütilise võimekuse säilitamine ja suurendamine)</t>
  </si>
  <si>
    <t>Sotsiaalkaitse valdkonna andmekogude riigi haldusesse ja majutusse toomine</t>
  </si>
  <si>
    <t xml:space="preserve">Sotsiaalkaitse valdkonna andmekogude riigi haldusesse ja majutusse toomine: ettevalmistustega alustame 2022 II poolaastal, et ajaliselt paremini sobituda RIT ajakavaga, eesmärgiks on SKAIS majutus üle viia RITi. MKMi poolt heaks kiidetud taotlus oli summas 411 246 eurot, praegusega taotleme 141 246 eurot, vahe 270 000 eurot soovime kasutada antud infosüsteemide väikearendusteks, et vähendada taakvarast tulenevaid riske,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</si>
</sst>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27" x14ac:knownFonts="1">
    <font>
      <sz val="11"/>
      <color theme="1"/>
      <name val="Calibri"/>
      <family val="2"/>
      <charset val="186"/>
      <scheme val="minor"/>
    </font>
    <font>
      <b/>
      <sz val="11"/>
      <color theme="1"/>
      <name val="Calibri"/>
      <family val="2"/>
      <charset val="186"/>
      <scheme val="minor"/>
    </font>
    <font>
      <sz val="11"/>
      <color theme="1"/>
      <name val="Calibri"/>
      <family val="2"/>
      <scheme val="minor"/>
    </font>
    <font>
      <b/>
      <sz val="16"/>
      <color theme="1"/>
      <name val="Calibri"/>
      <family val="2"/>
      <charset val="186"/>
      <scheme val="minor"/>
    </font>
    <font>
      <sz val="11"/>
      <color rgb="FF1A1A1A"/>
      <name val="Calibri"/>
      <family val="2"/>
      <charset val="186"/>
      <scheme val="minor"/>
    </font>
    <font>
      <b/>
      <sz val="11"/>
      <color rgb="FFFF0000"/>
      <name val="Calibri"/>
      <family val="2"/>
      <charset val="186"/>
      <scheme val="minor"/>
    </font>
    <font>
      <b/>
      <sz val="9"/>
      <color theme="1"/>
      <name val="Calibri"/>
      <family val="2"/>
      <charset val="186"/>
      <scheme val="minor"/>
    </font>
    <font>
      <b/>
      <sz val="14"/>
      <color rgb="FFFF0000"/>
      <name val="Calibri"/>
      <family val="2"/>
      <charset val="186"/>
      <scheme val="minor"/>
    </font>
    <font>
      <b/>
      <sz val="11"/>
      <name val="Calibri"/>
      <family val="2"/>
      <charset val="186"/>
      <scheme val="minor"/>
    </font>
    <font>
      <b/>
      <sz val="18"/>
      <color theme="1"/>
      <name val="Calibri"/>
      <family val="2"/>
      <charset val="186"/>
      <scheme val="minor"/>
    </font>
    <font>
      <b/>
      <u/>
      <sz val="11"/>
      <color theme="1"/>
      <name val="Calibri"/>
      <family val="2"/>
      <charset val="186"/>
      <scheme val="minor"/>
    </font>
    <font>
      <b/>
      <u/>
      <sz val="11"/>
      <color rgb="FFFF0000"/>
      <name val="Calibri"/>
      <family val="2"/>
      <charset val="186"/>
      <scheme val="minor"/>
    </font>
    <font>
      <b/>
      <sz val="16"/>
      <color rgb="FFFF0000"/>
      <name val="Calibri"/>
      <family val="2"/>
      <charset val="186"/>
      <scheme val="minor"/>
    </font>
    <font>
      <sz val="11"/>
      <color rgb="FFFF0000"/>
      <name val="Calibri"/>
      <family val="2"/>
      <charset val="186"/>
      <scheme val="minor"/>
    </font>
    <font>
      <b/>
      <sz val="16"/>
      <color rgb="FF00B050"/>
      <name val="Calibri"/>
      <family val="2"/>
      <charset val="186"/>
      <scheme val="minor"/>
    </font>
    <font>
      <sz val="11"/>
      <color theme="1"/>
      <name val="Calibri"/>
      <family val="2"/>
      <charset val="186"/>
      <scheme val="minor"/>
    </font>
    <font>
      <sz val="11"/>
      <color rgb="FF000000"/>
      <name val="Calibri"/>
      <family val="2"/>
    </font>
    <font>
      <b/>
      <sz val="14"/>
      <color theme="1"/>
      <name val="Calibri"/>
      <family val="2"/>
      <charset val="186"/>
      <scheme val="minor"/>
    </font>
    <font>
      <sz val="11"/>
      <color theme="1"/>
      <name val="Raleway"/>
      <family val="2"/>
    </font>
    <font>
      <sz val="11"/>
      <name val="Raleway"/>
      <family val="2"/>
    </font>
    <font>
      <b/>
      <sz val="11"/>
      <color theme="1"/>
      <name val="Raleway"/>
      <family val="2"/>
    </font>
    <font>
      <b/>
      <sz val="11"/>
      <color rgb="FFFF0000"/>
      <name val="Raleway"/>
      <family val="2"/>
    </font>
    <font>
      <sz val="12"/>
      <color theme="1"/>
      <name val="Times New Roman"/>
      <family val="1"/>
    </font>
    <font>
      <b/>
      <sz val="11"/>
      <name val="Raleway"/>
      <family val="2"/>
    </font>
    <font>
      <sz val="8"/>
      <name val="Calibri"/>
      <family val="2"/>
      <charset val="186"/>
      <scheme val="minor"/>
    </font>
    <font>
      <sz val="11"/>
      <name val="Calibri"/>
      <family val="2"/>
      <charset val="186"/>
      <scheme val="minor"/>
    </font>
    <font>
      <sz val="10"/>
      <color rgb="FF0000FF"/>
      <name val="Raleway"/>
      <family val="2"/>
    </font>
  </fonts>
  <fills count="8">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0000"/>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cellStyleXfs>
  <cellXfs count="266">
    <xf numFmtId="0" fontId="0" fillId="0" borderId="0" xfId="0"/>
    <xf numFmtId="3" fontId="1" fillId="0" borderId="0" xfId="0" applyNumberFormat="1" applyFont="1" applyAlignment="1">
      <alignment vertical="top"/>
    </xf>
    <xf numFmtId="3" fontId="0" fillId="0" borderId="3" xfId="0" applyNumberFormat="1" applyBorder="1" applyAlignment="1">
      <alignment vertical="top"/>
    </xf>
    <xf numFmtId="164" fontId="4" fillId="0" borderId="0" xfId="0" applyNumberFormat="1" applyFont="1" applyAlignment="1">
      <alignment horizontal="center"/>
    </xf>
    <xf numFmtId="0" fontId="1" fillId="0" borderId="0" xfId="0" applyFont="1" applyAlignment="1">
      <alignment horizontal="center"/>
    </xf>
    <xf numFmtId="165" fontId="0" fillId="0" borderId="0" xfId="0" applyNumberFormat="1" applyAlignment="1">
      <alignment horizontal="center"/>
    </xf>
    <xf numFmtId="0" fontId="7" fillId="0" borderId="0" xfId="0" applyFont="1"/>
    <xf numFmtId="0" fontId="1" fillId="0" borderId="0" xfId="0" applyFont="1" applyAlignment="1">
      <alignment vertical="top"/>
    </xf>
    <xf numFmtId="0" fontId="0" fillId="0" borderId="3" xfId="0" applyBorder="1" applyAlignment="1">
      <alignment horizontal="left" vertical="top"/>
    </xf>
    <xf numFmtId="0" fontId="0" fillId="0" borderId="16" xfId="0" applyBorder="1" applyAlignment="1">
      <alignment horizontal="left" vertical="top"/>
    </xf>
    <xf numFmtId="0" fontId="0" fillId="0" borderId="3" xfId="0" applyBorder="1" applyAlignment="1">
      <alignment vertical="top"/>
    </xf>
    <xf numFmtId="0" fontId="0" fillId="0" borderId="14" xfId="0" applyFill="1" applyBorder="1" applyAlignment="1">
      <alignment horizontal="left" vertical="top"/>
    </xf>
    <xf numFmtId="0" fontId="3" fillId="4" borderId="0" xfId="0" applyFont="1" applyFill="1" applyAlignment="1"/>
    <xf numFmtId="0" fontId="3" fillId="0" borderId="0" xfId="0" applyFont="1"/>
    <xf numFmtId="0" fontId="1" fillId="0" borderId="3" xfId="0" applyFont="1" applyBorder="1" applyAlignment="1">
      <alignment horizontal="center" vertical="top"/>
    </xf>
    <xf numFmtId="165" fontId="0" fillId="0" borderId="3" xfId="0" applyNumberFormat="1" applyBorder="1" applyAlignment="1">
      <alignment horizontal="right" vertical="top"/>
    </xf>
    <xf numFmtId="165" fontId="0" fillId="0" borderId="15" xfId="0" applyNumberFormat="1" applyBorder="1" applyAlignment="1">
      <alignment horizontal="right" vertical="top"/>
    </xf>
    <xf numFmtId="0" fontId="0" fillId="0" borderId="16" xfId="0" applyBorder="1" applyAlignment="1">
      <alignment horizontal="left" vertical="top" wrapText="1"/>
    </xf>
    <xf numFmtId="0" fontId="1" fillId="5" borderId="11" xfId="0" applyFont="1" applyFill="1" applyBorder="1" applyAlignment="1">
      <alignment horizontal="center" vertical="top"/>
    </xf>
    <xf numFmtId="0" fontId="0" fillId="0" borderId="24" xfId="0" applyBorder="1" applyAlignment="1">
      <alignment vertical="top"/>
    </xf>
    <xf numFmtId="0" fontId="0" fillId="0" borderId="23" xfId="0" applyBorder="1" applyAlignment="1">
      <alignment vertical="top"/>
    </xf>
    <xf numFmtId="0" fontId="0" fillId="0" borderId="24" xfId="0" applyFill="1" applyBorder="1" applyAlignment="1">
      <alignment vertical="top"/>
    </xf>
    <xf numFmtId="0" fontId="0" fillId="0" borderId="23" xfId="0" applyFill="1" applyBorder="1" applyAlignment="1">
      <alignment vertical="top"/>
    </xf>
    <xf numFmtId="0" fontId="3" fillId="0" borderId="0" xfId="0" applyFont="1" applyAlignment="1">
      <alignment vertical="top"/>
    </xf>
    <xf numFmtId="0" fontId="1" fillId="0" borderId="14" xfId="0" applyFont="1" applyBorder="1" applyAlignment="1">
      <alignment vertical="top"/>
    </xf>
    <xf numFmtId="0" fontId="0" fillId="0" borderId="14" xfId="0" applyBorder="1" applyAlignment="1">
      <alignment vertical="top"/>
    </xf>
    <xf numFmtId="0" fontId="1" fillId="0" borderId="16" xfId="0" applyFont="1" applyBorder="1" applyAlignment="1">
      <alignment vertical="top"/>
    </xf>
    <xf numFmtId="0" fontId="1" fillId="0" borderId="15" xfId="0" applyFont="1" applyBorder="1" applyAlignment="1">
      <alignment vertical="top"/>
    </xf>
    <xf numFmtId="0" fontId="1" fillId="0" borderId="16" xfId="0" quotePrefix="1" applyFont="1" applyBorder="1" applyAlignment="1">
      <alignment vertical="top"/>
    </xf>
    <xf numFmtId="0" fontId="1" fillId="0" borderId="15" xfId="0" quotePrefix="1" applyFont="1" applyBorder="1" applyAlignment="1">
      <alignment vertical="top"/>
    </xf>
    <xf numFmtId="0" fontId="0" fillId="0" borderId="16" xfId="0" applyBorder="1" applyAlignment="1">
      <alignment vertical="top"/>
    </xf>
    <xf numFmtId="0" fontId="0" fillId="0" borderId="15" xfId="0" applyBorder="1" applyAlignment="1">
      <alignment vertical="top"/>
    </xf>
    <xf numFmtId="0" fontId="0" fillId="0" borderId="22" xfId="0" applyBorder="1" applyAlignment="1">
      <alignment vertical="top"/>
    </xf>
    <xf numFmtId="0" fontId="0" fillId="0" borderId="18" xfId="0" applyBorder="1" applyAlignment="1">
      <alignment vertical="top"/>
    </xf>
    <xf numFmtId="3" fontId="1" fillId="0" borderId="3" xfId="0" applyNumberFormat="1" applyFont="1" applyBorder="1" applyAlignment="1">
      <alignment vertical="top"/>
    </xf>
    <xf numFmtId="3" fontId="0" fillId="0" borderId="19" xfId="0" applyNumberFormat="1" applyBorder="1" applyAlignment="1">
      <alignment vertical="top"/>
    </xf>
    <xf numFmtId="0" fontId="0" fillId="0" borderId="0" xfId="0" applyFont="1" applyBorder="1" applyAlignment="1">
      <alignment horizontal="justify" vertical="center" wrapText="1"/>
    </xf>
    <xf numFmtId="165" fontId="0" fillId="0" borderId="14" xfId="0" applyNumberFormat="1" applyBorder="1" applyAlignment="1">
      <alignment horizontal="right" vertical="top"/>
    </xf>
    <xf numFmtId="0" fontId="1" fillId="5" borderId="11" xfId="0" applyFont="1" applyFill="1" applyBorder="1" applyAlignment="1">
      <alignment horizontal="center" vertical="top" wrapText="1"/>
    </xf>
    <xf numFmtId="0" fontId="0" fillId="0" borderId="0" xfId="0" applyBorder="1" applyAlignment="1">
      <alignmen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165" fontId="0" fillId="0" borderId="0" xfId="0" applyNumberFormat="1" applyFill="1" applyBorder="1" applyAlignment="1">
      <alignment horizontal="right" vertical="top"/>
    </xf>
    <xf numFmtId="0" fontId="0" fillId="0" borderId="0" xfId="0" applyFill="1" applyBorder="1" applyAlignment="1">
      <alignment vertical="top"/>
    </xf>
    <xf numFmtId="0" fontId="1" fillId="6" borderId="12" xfId="0" applyFont="1" applyFill="1" applyBorder="1" applyAlignment="1">
      <alignment horizontal="center" vertical="top"/>
    </xf>
    <xf numFmtId="0" fontId="1" fillId="0" borderId="16" xfId="0" applyFont="1" applyBorder="1" applyAlignment="1">
      <alignment horizontal="left" vertical="top"/>
    </xf>
    <xf numFmtId="165" fontId="1" fillId="0" borderId="3" xfId="0" applyNumberFormat="1" applyFont="1" applyBorder="1" applyAlignment="1">
      <alignment horizontal="right" vertical="top"/>
    </xf>
    <xf numFmtId="0" fontId="1" fillId="5" borderId="13" xfId="0" applyFont="1" applyFill="1" applyBorder="1" applyAlignment="1">
      <alignment horizontal="center" vertical="top" wrapText="1"/>
    </xf>
    <xf numFmtId="0" fontId="10" fillId="0" borderId="4" xfId="0" applyFont="1" applyBorder="1" applyAlignment="1">
      <alignment horizontal="left" vertical="top"/>
    </xf>
    <xf numFmtId="165" fontId="10" fillId="0" borderId="5" xfId="0" applyNumberFormat="1" applyFont="1" applyBorder="1" applyAlignment="1">
      <alignment horizontal="right" vertical="top"/>
    </xf>
    <xf numFmtId="165" fontId="0" fillId="0" borderId="6" xfId="0" applyNumberFormat="1" applyBorder="1" applyAlignment="1">
      <alignment horizontal="right" vertical="top"/>
    </xf>
    <xf numFmtId="0" fontId="0" fillId="0" borderId="22" xfId="0" applyBorder="1" applyAlignment="1">
      <alignment horizontal="left" vertical="top" wrapText="1"/>
    </xf>
    <xf numFmtId="165" fontId="0" fillId="0" borderId="19" xfId="0" applyNumberFormat="1" applyBorder="1" applyAlignment="1">
      <alignment horizontal="right" vertical="top"/>
    </xf>
    <xf numFmtId="165" fontId="0" fillId="0" borderId="18" xfId="0" applyNumberFormat="1" applyBorder="1" applyAlignment="1">
      <alignment horizontal="right" vertical="top"/>
    </xf>
    <xf numFmtId="165" fontId="0" fillId="0" borderId="20" xfId="0" applyNumberFormat="1" applyBorder="1" applyAlignment="1">
      <alignment horizontal="right" vertical="top"/>
    </xf>
    <xf numFmtId="0" fontId="1" fillId="5" borderId="10" xfId="0" applyFont="1" applyFill="1" applyBorder="1" applyAlignment="1">
      <alignment horizontal="center" vertical="top" wrapText="1"/>
    </xf>
    <xf numFmtId="0" fontId="3" fillId="4" borderId="0" xfId="0" applyFont="1" applyFill="1" applyAlignment="1">
      <alignment horizontal="left" vertical="top"/>
    </xf>
    <xf numFmtId="165" fontId="0" fillId="0" borderId="3" xfId="0" applyNumberFormat="1" applyFill="1" applyBorder="1" applyAlignment="1">
      <alignment horizontal="right" vertical="top"/>
    </xf>
    <xf numFmtId="0" fontId="0" fillId="0" borderId="0" xfId="0" applyBorder="1" applyAlignment="1">
      <alignment horizontal="left" vertical="top" wrapText="1"/>
    </xf>
    <xf numFmtId="165" fontId="0" fillId="0" borderId="0" xfId="0" applyNumberFormat="1" applyBorder="1" applyAlignment="1">
      <alignment horizontal="right" vertical="top"/>
    </xf>
    <xf numFmtId="0" fontId="1" fillId="0" borderId="0" xfId="0" applyFont="1"/>
    <xf numFmtId="3" fontId="1" fillId="3" borderId="3" xfId="0" applyNumberFormat="1" applyFont="1" applyFill="1" applyBorder="1" applyAlignment="1">
      <alignment vertical="top"/>
    </xf>
    <xf numFmtId="165" fontId="9" fillId="3" borderId="0" xfId="0" applyNumberFormat="1" applyFont="1" applyFill="1" applyAlignment="1"/>
    <xf numFmtId="0" fontId="1" fillId="3" borderId="16" xfId="0" applyFont="1" applyFill="1" applyBorder="1" applyAlignment="1">
      <alignment horizontal="left" vertical="top"/>
    </xf>
    <xf numFmtId="165" fontId="1" fillId="3" borderId="3" xfId="0" applyNumberFormat="1" applyFont="1" applyFill="1" applyBorder="1" applyAlignment="1">
      <alignment horizontal="right" vertical="top"/>
    </xf>
    <xf numFmtId="165" fontId="11" fillId="3" borderId="5" xfId="0" applyNumberFormat="1" applyFont="1" applyFill="1" applyBorder="1" applyAlignment="1">
      <alignment horizontal="right" vertical="top"/>
    </xf>
    <xf numFmtId="165" fontId="5" fillId="0" borderId="6" xfId="0" applyNumberFormat="1" applyFont="1" applyFill="1" applyBorder="1" applyAlignment="1">
      <alignment horizontal="center"/>
    </xf>
    <xf numFmtId="165" fontId="5" fillId="0" borderId="15" xfId="0" applyNumberFormat="1" applyFont="1" applyFill="1" applyBorder="1" applyAlignment="1">
      <alignment horizontal="center"/>
    </xf>
    <xf numFmtId="0" fontId="1" fillId="0" borderId="3"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23" xfId="0" applyFont="1" applyBorder="1" applyAlignment="1">
      <alignment horizontal="center" vertical="top" wrapText="1"/>
    </xf>
    <xf numFmtId="0" fontId="1" fillId="0" borderId="16" xfId="0" applyFont="1" applyBorder="1" applyAlignment="1">
      <alignment horizontal="center" vertical="top"/>
    </xf>
    <xf numFmtId="0" fontId="1" fillId="0" borderId="15" xfId="0" applyFont="1" applyBorder="1" applyAlignment="1">
      <alignment horizontal="center" vertical="top"/>
    </xf>
    <xf numFmtId="165" fontId="8" fillId="3" borderId="18" xfId="0" applyNumberFormat="1" applyFont="1" applyFill="1" applyBorder="1" applyAlignment="1">
      <alignment horizontal="center"/>
    </xf>
    <xf numFmtId="0" fontId="13" fillId="0" borderId="0" xfId="0" applyFont="1"/>
    <xf numFmtId="0" fontId="13" fillId="0" borderId="0" xfId="0" applyFont="1" applyFill="1" applyBorder="1" applyAlignment="1">
      <alignment vertical="top"/>
    </xf>
    <xf numFmtId="0" fontId="6" fillId="0" borderId="0" xfId="0" applyFont="1" applyBorder="1" applyAlignment="1">
      <alignment horizontal="center"/>
    </xf>
    <xf numFmtId="49" fontId="9" fillId="0" borderId="0" xfId="0" applyNumberFormat="1" applyFont="1"/>
    <xf numFmtId="3" fontId="0" fillId="0" borderId="0" xfId="0" applyNumberFormat="1"/>
    <xf numFmtId="0" fontId="12" fillId="0" borderId="0" xfId="0" applyFont="1" applyAlignment="1">
      <alignment wrapText="1"/>
    </xf>
    <xf numFmtId="0" fontId="14" fillId="0" borderId="0" xfId="0" applyFont="1" applyAlignment="1">
      <alignment wrapText="1"/>
    </xf>
    <xf numFmtId="0" fontId="0" fillId="0" borderId="0" xfId="0" applyAlignment="1">
      <alignment vertical="top"/>
    </xf>
    <xf numFmtId="0" fontId="1" fillId="0" borderId="25" xfId="0" applyFont="1" applyBorder="1" applyAlignment="1">
      <alignment horizontal="center"/>
    </xf>
    <xf numFmtId="0" fontId="0" fillId="0" borderId="0" xfId="0" applyAlignment="1">
      <alignment vertical="top"/>
    </xf>
    <xf numFmtId="0" fontId="0" fillId="0" borderId="3" xfId="0" applyBorder="1" applyAlignment="1">
      <alignment horizontal="center" vertical="top"/>
    </xf>
    <xf numFmtId="0" fontId="0" fillId="0" borderId="3" xfId="0" applyBorder="1" applyAlignment="1">
      <alignment vertical="top" wrapText="1"/>
    </xf>
    <xf numFmtId="9" fontId="0" fillId="0" borderId="3" xfId="0" applyNumberFormat="1" applyBorder="1" applyAlignment="1">
      <alignment vertical="top"/>
    </xf>
    <xf numFmtId="0" fontId="0" fillId="0" borderId="3" xfId="0" applyBorder="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0" fillId="0" borderId="0" xfId="0" applyBorder="1" applyAlignment="1">
      <alignment horizontal="left" vertical="top"/>
    </xf>
    <xf numFmtId="0" fontId="0" fillId="0" borderId="0" xfId="0" applyAlignment="1">
      <alignment wrapText="1"/>
    </xf>
    <xf numFmtId="0" fontId="3" fillId="0" borderId="0" xfId="0" applyFont="1" applyAlignment="1">
      <alignment wrapText="1"/>
    </xf>
    <xf numFmtId="164" fontId="4" fillId="0" borderId="0" xfId="0" applyNumberFormat="1" applyFont="1" applyAlignment="1">
      <alignment horizontal="center" wrapText="1"/>
    </xf>
    <xf numFmtId="165" fontId="5" fillId="0" borderId="6" xfId="0" applyNumberFormat="1" applyFont="1" applyFill="1" applyBorder="1" applyAlignment="1">
      <alignment horizontal="center" wrapText="1"/>
    </xf>
    <xf numFmtId="165" fontId="5" fillId="0" borderId="15" xfId="0" applyNumberFormat="1" applyFont="1" applyFill="1" applyBorder="1" applyAlignment="1">
      <alignment horizontal="center" wrapText="1"/>
    </xf>
    <xf numFmtId="165" fontId="8" fillId="3" borderId="18" xfId="0" applyNumberFormat="1" applyFont="1" applyFill="1" applyBorder="1" applyAlignment="1">
      <alignment horizontal="center" wrapText="1"/>
    </xf>
    <xf numFmtId="165" fontId="10" fillId="0" borderId="5" xfId="0" applyNumberFormat="1" applyFont="1" applyBorder="1" applyAlignment="1">
      <alignment horizontal="right" vertical="top" wrapText="1"/>
    </xf>
    <xf numFmtId="165" fontId="1" fillId="0" borderId="3" xfId="0" applyNumberFormat="1" applyFont="1" applyBorder="1" applyAlignment="1">
      <alignment horizontal="right" vertical="top" wrapText="1"/>
    </xf>
    <xf numFmtId="165" fontId="0" fillId="0" borderId="3" xfId="0" applyNumberFormat="1" applyBorder="1" applyAlignment="1">
      <alignment horizontal="right" vertical="top" wrapText="1"/>
    </xf>
    <xf numFmtId="165" fontId="0" fillId="0" borderId="19" xfId="0" applyNumberFormat="1" applyBorder="1" applyAlignment="1">
      <alignment horizontal="right" vertical="top" wrapText="1"/>
    </xf>
    <xf numFmtId="165" fontId="0" fillId="0" borderId="0" xfId="0" applyNumberFormat="1" applyBorder="1" applyAlignment="1">
      <alignment horizontal="right" vertical="top" wrapText="1"/>
    </xf>
    <xf numFmtId="165" fontId="1" fillId="3" borderId="3" xfId="0" applyNumberFormat="1" applyFont="1" applyFill="1" applyBorder="1" applyAlignment="1">
      <alignment horizontal="right" vertical="top" wrapText="1"/>
    </xf>
    <xf numFmtId="0" fontId="0" fillId="0" borderId="0" xfId="0" applyBorder="1" applyAlignment="1">
      <alignment vertical="top" wrapText="1"/>
    </xf>
    <xf numFmtId="0" fontId="0" fillId="0" borderId="24" xfId="0" applyBorder="1" applyAlignment="1">
      <alignment vertical="top" wrapText="1"/>
    </xf>
    <xf numFmtId="0" fontId="0" fillId="0" borderId="23" xfId="0" applyBorder="1" applyAlignment="1">
      <alignment vertical="top" wrapText="1"/>
    </xf>
    <xf numFmtId="0" fontId="0" fillId="0" borderId="24" xfId="0" applyFill="1" applyBorder="1" applyAlignment="1">
      <alignment vertical="top" wrapText="1"/>
    </xf>
    <xf numFmtId="0" fontId="0" fillId="0" borderId="23" xfId="0" applyFill="1" applyBorder="1" applyAlignment="1">
      <alignment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3" fontId="1" fillId="3" borderId="3" xfId="0" applyNumberFormat="1" applyFont="1" applyFill="1" applyBorder="1" applyAlignment="1">
      <alignment vertical="top" wrapText="1"/>
    </xf>
    <xf numFmtId="0" fontId="1" fillId="0" borderId="15" xfId="0" quotePrefix="1" applyFont="1" applyBorder="1" applyAlignment="1">
      <alignment vertical="top" wrapText="1"/>
    </xf>
    <xf numFmtId="0" fontId="1" fillId="0" borderId="16" xfId="0" quotePrefix="1" applyFont="1" applyBorder="1" applyAlignment="1">
      <alignment vertical="top" wrapText="1"/>
    </xf>
    <xf numFmtId="3" fontId="1" fillId="0" borderId="3" xfId="0" applyNumberFormat="1"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3" fontId="0" fillId="0" borderId="3" xfId="0" applyNumberFormat="1" applyBorder="1" applyAlignment="1">
      <alignment vertical="top" wrapText="1"/>
    </xf>
    <xf numFmtId="0" fontId="0" fillId="0" borderId="15" xfId="0" applyBorder="1" applyAlignment="1">
      <alignment vertical="top" wrapText="1"/>
    </xf>
    <xf numFmtId="3" fontId="0" fillId="0" borderId="19" xfId="0" applyNumberFormat="1" applyBorder="1" applyAlignment="1">
      <alignment vertical="top" wrapText="1"/>
    </xf>
    <xf numFmtId="0" fontId="0" fillId="0" borderId="18" xfId="0" applyBorder="1" applyAlignment="1">
      <alignment vertical="top" wrapText="1"/>
    </xf>
    <xf numFmtId="164" fontId="17" fillId="3" borderId="0" xfId="0" applyNumberFormat="1" applyFont="1" applyFill="1" applyAlignment="1"/>
    <xf numFmtId="0" fontId="2" fillId="0" borderId="16" xfId="0" applyFont="1" applyBorder="1" applyAlignment="1">
      <alignment vertical="top"/>
    </xf>
    <xf numFmtId="3" fontId="0" fillId="0" borderId="29" xfId="0" applyNumberFormat="1" applyBorder="1" applyAlignment="1">
      <alignment vertical="top"/>
    </xf>
    <xf numFmtId="0" fontId="0" fillId="0" borderId="30" xfId="0" applyBorder="1" applyAlignment="1">
      <alignment vertical="top"/>
    </xf>
    <xf numFmtId="165" fontId="1" fillId="0" borderId="0" xfId="0" applyNumberFormat="1" applyFont="1" applyAlignment="1">
      <alignment horizontal="center"/>
    </xf>
    <xf numFmtId="165" fontId="0" fillId="0" borderId="15" xfId="0" applyNumberFormat="1" applyBorder="1" applyAlignment="1">
      <alignment horizontal="center" vertical="top"/>
    </xf>
    <xf numFmtId="165" fontId="0" fillId="0" borderId="18" xfId="0" applyNumberFormat="1" applyBorder="1" applyAlignment="1">
      <alignment horizontal="center" vertical="top"/>
    </xf>
    <xf numFmtId="165" fontId="0" fillId="0" borderId="6" xfId="0" applyNumberFormat="1" applyBorder="1" applyAlignment="1">
      <alignment horizontal="center" vertical="top"/>
    </xf>
    <xf numFmtId="165" fontId="0" fillId="0" borderId="0" xfId="0" applyNumberFormat="1"/>
    <xf numFmtId="0" fontId="0" fillId="0" borderId="0" xfId="0" applyAlignment="1">
      <alignment vertical="top"/>
    </xf>
    <xf numFmtId="0" fontId="2" fillId="0" borderId="0" xfId="0" applyFont="1"/>
    <xf numFmtId="0" fontId="2" fillId="0" borderId="14" xfId="0" applyFont="1" applyBorder="1" applyAlignment="1">
      <alignment vertical="top"/>
    </xf>
    <xf numFmtId="0" fontId="2" fillId="0" borderId="31" xfId="0" applyFont="1" applyBorder="1" applyAlignment="1">
      <alignment vertical="top"/>
    </xf>
    <xf numFmtId="3" fontId="2" fillId="0" borderId="29" xfId="0" applyNumberFormat="1" applyFont="1" applyBorder="1" applyAlignment="1">
      <alignment vertical="top"/>
    </xf>
    <xf numFmtId="0" fontId="2" fillId="0" borderId="30" xfId="0" applyFont="1" applyBorder="1" applyAlignment="1">
      <alignment vertical="top"/>
    </xf>
    <xf numFmtId="0" fontId="0" fillId="0" borderId="31" xfId="0" applyBorder="1" applyAlignment="1">
      <alignment vertical="top"/>
    </xf>
    <xf numFmtId="3" fontId="0" fillId="0" borderId="29" xfId="0" applyNumberFormat="1" applyBorder="1" applyAlignment="1">
      <alignment vertical="top" wrapText="1"/>
    </xf>
    <xf numFmtId="0" fontId="0" fillId="0" borderId="30" xfId="0" applyBorder="1" applyAlignment="1">
      <alignment vertical="top"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left" vertical="center" wrapText="1"/>
    </xf>
    <xf numFmtId="0" fontId="20" fillId="2" borderId="0" xfId="0" applyFont="1" applyFill="1" applyBorder="1" applyAlignment="1">
      <alignment vertical="center"/>
    </xf>
    <xf numFmtId="0" fontId="18" fillId="2" borderId="2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28" xfId="0" applyFont="1" applyFill="1" applyBorder="1" applyAlignment="1">
      <alignment horizontal="center" vertical="center"/>
    </xf>
    <xf numFmtId="0" fontId="18" fillId="0" borderId="0" xfId="0" applyFont="1" applyAlignment="1">
      <alignment vertical="center"/>
    </xf>
    <xf numFmtId="0" fontId="18" fillId="0" borderId="10" xfId="0" applyFont="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164" fontId="18" fillId="2" borderId="10" xfId="0" applyNumberFormat="1" applyFont="1" applyFill="1" applyBorder="1" applyAlignment="1">
      <alignment horizontal="center" vertical="center" wrapText="1"/>
    </xf>
    <xf numFmtId="164" fontId="18" fillId="2" borderId="11" xfId="0" applyNumberFormat="1" applyFont="1" applyFill="1" applyBorder="1" applyAlignment="1">
      <alignment horizontal="center" vertical="center" wrapText="1"/>
    </xf>
    <xf numFmtId="164" fontId="18" fillId="2" borderId="13" xfId="0" applyNumberFormat="1"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19" fillId="0" borderId="3" xfId="0" applyFont="1" applyFill="1" applyBorder="1" applyAlignment="1">
      <alignment horizontal="left" vertical="center" wrapText="1"/>
    </xf>
    <xf numFmtId="0" fontId="18" fillId="0" borderId="0" xfId="0" applyFont="1" applyAlignment="1">
      <alignment horizontal="center" vertical="center"/>
    </xf>
    <xf numFmtId="0" fontId="21" fillId="0" borderId="0" xfId="0" applyFont="1" applyAlignment="1">
      <alignment vertical="center"/>
    </xf>
    <xf numFmtId="0" fontId="0" fillId="0" borderId="0" xfId="0" applyAlignment="1">
      <alignment vertical="top"/>
    </xf>
    <xf numFmtId="0" fontId="19" fillId="0" borderId="3" xfId="0" applyFont="1" applyBorder="1" applyAlignment="1">
      <alignment horizontal="left" vertical="center"/>
    </xf>
    <xf numFmtId="49" fontId="19" fillId="0" borderId="3" xfId="0" applyNumberFormat="1" applyFont="1" applyFill="1" applyBorder="1" applyAlignment="1">
      <alignment vertical="center" wrapText="1"/>
    </xf>
    <xf numFmtId="1" fontId="19" fillId="0" borderId="3" xfId="0" applyNumberFormat="1" applyFont="1" applyFill="1" applyBorder="1" applyAlignment="1">
      <alignment horizontal="center" vertical="center"/>
    </xf>
    <xf numFmtId="3" fontId="19" fillId="0" borderId="3" xfId="0" applyNumberFormat="1" applyFont="1" applyFill="1" applyBorder="1" applyAlignment="1">
      <alignment vertical="center"/>
    </xf>
    <xf numFmtId="3" fontId="19" fillId="0" borderId="31" xfId="0" applyNumberFormat="1" applyFont="1" applyFill="1" applyBorder="1" applyAlignment="1">
      <alignment vertical="center"/>
    </xf>
    <xf numFmtId="3" fontId="19" fillId="0" borderId="29" xfId="0" applyNumberFormat="1" applyFont="1" applyFill="1" applyBorder="1" applyAlignment="1">
      <alignment vertical="center"/>
    </xf>
    <xf numFmtId="3" fontId="19" fillId="0" borderId="30" xfId="0" applyNumberFormat="1" applyFont="1" applyFill="1" applyBorder="1" applyAlignment="1">
      <alignment vertical="center"/>
    </xf>
    <xf numFmtId="0" fontId="19" fillId="0" borderId="0" xfId="0" applyFont="1" applyAlignment="1">
      <alignment vertical="center"/>
    </xf>
    <xf numFmtId="3" fontId="19" fillId="0" borderId="16" xfId="0" applyNumberFormat="1" applyFont="1" applyFill="1" applyBorder="1" applyAlignment="1">
      <alignment vertical="center"/>
    </xf>
    <xf numFmtId="3" fontId="19" fillId="0" borderId="15" xfId="0" applyNumberFormat="1" applyFont="1" applyFill="1" applyBorder="1" applyAlignment="1">
      <alignment vertical="center"/>
    </xf>
    <xf numFmtId="0" fontId="2" fillId="0" borderId="3" xfId="0" applyFont="1" applyBorder="1" applyAlignment="1">
      <alignment horizontal="center" vertical="justify"/>
    </xf>
    <xf numFmtId="0" fontId="2" fillId="0" borderId="3" xfId="0" applyFont="1" applyBorder="1" applyAlignment="1">
      <alignment horizontal="left" vertical="justify"/>
    </xf>
    <xf numFmtId="0" fontId="2" fillId="0" borderId="3" xfId="0" applyFont="1" applyBorder="1" applyAlignment="1">
      <alignment vertical="justify"/>
    </xf>
    <xf numFmtId="0" fontId="0" fillId="0" borderId="3" xfId="0" applyBorder="1" applyAlignment="1">
      <alignment horizontal="justify" vertical="top"/>
    </xf>
    <xf numFmtId="0" fontId="22" fillId="0" borderId="0" xfId="0" applyFont="1" applyBorder="1" applyAlignment="1">
      <alignment horizontal="left" vertical="center" wrapText="1"/>
    </xf>
    <xf numFmtId="0" fontId="2" fillId="0" borderId="3" xfId="0" applyFont="1" applyBorder="1" applyAlignment="1">
      <alignment horizontal="justify" vertical="top"/>
    </xf>
    <xf numFmtId="0" fontId="22" fillId="0" borderId="3" xfId="0" applyFont="1" applyBorder="1" applyAlignment="1">
      <alignment horizontal="left" vertical="center" wrapText="1"/>
    </xf>
    <xf numFmtId="0" fontId="0" fillId="0" borderId="3" xfId="0" applyBorder="1" applyAlignment="1">
      <alignment horizontal="left" vertical="justify"/>
    </xf>
    <xf numFmtId="3" fontId="19" fillId="0" borderId="3" xfId="0" applyNumberFormat="1" applyFont="1" applyBorder="1" applyAlignment="1">
      <alignment vertical="center"/>
    </xf>
    <xf numFmtId="3" fontId="19" fillId="0" borderId="29" xfId="0" applyNumberFormat="1" applyFont="1" applyBorder="1" applyAlignment="1">
      <alignment vertical="center"/>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9" fontId="16" fillId="0" borderId="3" xfId="0" applyNumberFormat="1" applyFont="1" applyBorder="1" applyAlignment="1">
      <alignment horizontal="center" vertical="center" wrapText="1"/>
    </xf>
    <xf numFmtId="0" fontId="0" fillId="0" borderId="0" xfId="0" applyAlignment="1">
      <alignment vertical="top"/>
    </xf>
    <xf numFmtId="0" fontId="0" fillId="0" borderId="3" xfId="0" applyFont="1" applyBorder="1" applyAlignment="1">
      <alignment horizontal="justify" vertical="top"/>
    </xf>
    <xf numFmtId="0" fontId="0" fillId="0" borderId="3" xfId="0" applyFill="1" applyBorder="1" applyAlignment="1">
      <alignment horizontal="left" vertical="top"/>
    </xf>
    <xf numFmtId="49" fontId="19" fillId="0" borderId="14" xfId="0" applyNumberFormat="1" applyFont="1" applyFill="1" applyBorder="1" applyAlignment="1">
      <alignment horizontal="center" vertical="center" wrapText="1"/>
    </xf>
    <xf numFmtId="0" fontId="19" fillId="0" borderId="14" xfId="0" applyFont="1" applyBorder="1" applyAlignment="1">
      <alignment horizontal="center" vertical="center"/>
    </xf>
    <xf numFmtId="164" fontId="18" fillId="2" borderId="33" xfId="0" applyNumberFormat="1" applyFont="1" applyFill="1" applyBorder="1" applyAlignment="1">
      <alignment horizontal="center" vertical="center" wrapText="1"/>
    </xf>
    <xf numFmtId="3" fontId="19" fillId="0" borderId="23" xfId="0" applyNumberFormat="1" applyFont="1" applyFill="1" applyBorder="1" applyAlignment="1">
      <alignment vertical="center"/>
    </xf>
    <xf numFmtId="3" fontId="19" fillId="0" borderId="32" xfId="0" applyNumberFormat="1" applyFont="1" applyFill="1" applyBorder="1" applyAlignment="1">
      <alignment vertical="center"/>
    </xf>
    <xf numFmtId="49" fontId="20" fillId="0" borderId="3" xfId="0" applyNumberFormat="1" applyFont="1" applyBorder="1" applyAlignment="1">
      <alignment horizontal="left" vertical="center" wrapText="1"/>
    </xf>
    <xf numFmtId="1" fontId="20" fillId="0" borderId="3" xfId="0" applyNumberFormat="1" applyFont="1" applyBorder="1" applyAlignment="1">
      <alignment horizontal="center" vertical="center"/>
    </xf>
    <xf numFmtId="3" fontId="20" fillId="0" borderId="3" xfId="0" applyNumberFormat="1" applyFont="1" applyBorder="1" applyAlignment="1">
      <alignment vertical="center"/>
    </xf>
    <xf numFmtId="3" fontId="23" fillId="0" borderId="3" xfId="0" applyNumberFormat="1" applyFont="1" applyFill="1" applyBorder="1" applyAlignment="1">
      <alignment horizontal="right" vertical="center"/>
    </xf>
    <xf numFmtId="3" fontId="18" fillId="0" borderId="0" xfId="0" applyNumberFormat="1" applyFont="1" applyAlignment="1">
      <alignment vertical="center"/>
    </xf>
    <xf numFmtId="0" fontId="18" fillId="0" borderId="0" xfId="0" applyFont="1" applyFill="1" applyAlignment="1">
      <alignment horizontal="center" vertical="center"/>
    </xf>
    <xf numFmtId="0" fontId="18" fillId="0" borderId="12" xfId="0" applyFont="1" applyFill="1" applyBorder="1" applyAlignment="1">
      <alignment horizontal="center" vertical="center" wrapText="1"/>
    </xf>
    <xf numFmtId="1" fontId="20" fillId="0" borderId="3" xfId="0" applyNumberFormat="1" applyFont="1" applyFill="1" applyBorder="1" applyAlignment="1">
      <alignment horizontal="center" vertical="center"/>
    </xf>
    <xf numFmtId="1" fontId="23" fillId="0" borderId="3" xfId="0" applyNumberFormat="1" applyFont="1" applyFill="1" applyBorder="1" applyAlignment="1">
      <alignment horizontal="center" vertical="center"/>
    </xf>
    <xf numFmtId="0" fontId="20" fillId="2" borderId="12" xfId="0" applyFont="1" applyFill="1" applyBorder="1" applyAlignment="1">
      <alignment horizontal="center" vertical="center" wrapText="1"/>
    </xf>
    <xf numFmtId="3" fontId="18" fillId="0" borderId="0" xfId="0" applyNumberFormat="1" applyFont="1" applyAlignment="1">
      <alignment horizontal="center" vertical="center"/>
    </xf>
    <xf numFmtId="3" fontId="0" fillId="7" borderId="3" xfId="0" applyNumberFormat="1" applyFill="1" applyBorder="1" applyAlignment="1">
      <alignment vertical="top"/>
    </xf>
    <xf numFmtId="3" fontId="2" fillId="7" borderId="29" xfId="0" applyNumberFormat="1" applyFont="1" applyFill="1" applyBorder="1" applyAlignment="1">
      <alignment vertical="top"/>
    </xf>
    <xf numFmtId="3" fontId="0" fillId="0" borderId="3" xfId="0" applyNumberFormat="1" applyFill="1" applyBorder="1" applyAlignment="1">
      <alignment vertical="top"/>
    </xf>
    <xf numFmtId="3" fontId="2" fillId="0" borderId="29" xfId="0" applyNumberFormat="1" applyFont="1" applyFill="1" applyBorder="1" applyAlignment="1">
      <alignment vertical="top"/>
    </xf>
    <xf numFmtId="0" fontId="9" fillId="0" borderId="0" xfId="0" applyFont="1"/>
    <xf numFmtId="165" fontId="2" fillId="0" borderId="3" xfId="0" applyNumberFormat="1" applyFont="1" applyBorder="1" applyAlignment="1">
      <alignment horizontal="right" vertical="top"/>
    </xf>
    <xf numFmtId="0" fontId="1" fillId="0" borderId="14" xfId="0" applyFont="1" applyBorder="1" applyAlignment="1">
      <alignment horizontal="center" vertical="top" wrapText="1"/>
    </xf>
    <xf numFmtId="0" fontId="0" fillId="0" borderId="35" xfId="0" applyBorder="1" applyAlignment="1">
      <alignment vertical="top"/>
    </xf>
    <xf numFmtId="0" fontId="1" fillId="0" borderId="36" xfId="0" applyFont="1" applyBorder="1" applyAlignment="1">
      <alignment horizontal="center" vertical="top" wrapText="1"/>
    </xf>
    <xf numFmtId="0" fontId="0" fillId="0" borderId="36" xfId="0" applyBorder="1" applyAlignment="1">
      <alignment vertical="top"/>
    </xf>
    <xf numFmtId="0" fontId="0" fillId="0" borderId="32" xfId="0" applyBorder="1" applyAlignment="1">
      <alignment vertical="top"/>
    </xf>
    <xf numFmtId="9" fontId="2" fillId="0" borderId="3" xfId="0" applyNumberFormat="1" applyFont="1" applyBorder="1" applyAlignment="1">
      <alignment horizontal="center" vertical="top"/>
    </xf>
    <xf numFmtId="9" fontId="2" fillId="0" borderId="14" xfId="0" applyNumberFormat="1"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vertical="top"/>
    </xf>
    <xf numFmtId="0" fontId="2" fillId="0" borderId="3" xfId="0" applyFont="1" applyBorder="1" applyAlignment="1">
      <alignment horizontal="center" vertical="top"/>
    </xf>
    <xf numFmtId="0" fontId="2" fillId="0" borderId="14" xfId="0" applyFont="1" applyBorder="1" applyAlignment="1">
      <alignment horizontal="left" vertical="top"/>
    </xf>
    <xf numFmtId="0" fontId="2" fillId="0" borderId="24" xfId="0" applyFont="1" applyBorder="1" applyAlignment="1">
      <alignment vertical="top"/>
    </xf>
    <xf numFmtId="0" fontId="2" fillId="0" borderId="2" xfId="0" applyFont="1" applyBorder="1" applyAlignment="1">
      <alignment horizontal="left" vertical="top"/>
    </xf>
    <xf numFmtId="0" fontId="2" fillId="0" borderId="37" xfId="0" applyFont="1" applyBorder="1" applyAlignment="1">
      <alignment vertical="top"/>
    </xf>
    <xf numFmtId="0" fontId="0" fillId="0" borderId="38" xfId="0" applyBorder="1" applyAlignment="1">
      <alignment vertical="top"/>
    </xf>
    <xf numFmtId="0" fontId="2" fillId="0" borderId="3" xfId="0" applyFont="1" applyBorder="1" applyAlignment="1">
      <alignment vertical="top"/>
    </xf>
    <xf numFmtId="0" fontId="2" fillId="0" borderId="2" xfId="0" applyFont="1" applyBorder="1" applyAlignment="1">
      <alignment vertical="top"/>
    </xf>
    <xf numFmtId="0" fontId="1" fillId="0" borderId="35" xfId="0" applyFont="1" applyBorder="1" applyAlignment="1">
      <alignment horizontal="center" vertical="top" wrapText="1"/>
    </xf>
    <xf numFmtId="9" fontId="0" fillId="0" borderId="3" xfId="0" applyNumberFormat="1" applyBorder="1" applyAlignment="1">
      <alignment horizontal="left" vertical="top"/>
    </xf>
    <xf numFmtId="0" fontId="0" fillId="0" borderId="14" xfId="0" applyBorder="1"/>
    <xf numFmtId="3" fontId="0" fillId="0" borderId="0" xfId="0" applyNumberForma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5" xfId="0" applyFill="1" applyBorder="1" applyAlignment="1">
      <alignment vertical="top"/>
    </xf>
    <xf numFmtId="0" fontId="2" fillId="0" borderId="16" xfId="0" applyFont="1" applyFill="1" applyBorder="1" applyAlignment="1">
      <alignment vertical="top"/>
    </xf>
    <xf numFmtId="3" fontId="0" fillId="0" borderId="29" xfId="0" applyNumberFormat="1" applyFill="1" applyBorder="1" applyAlignment="1">
      <alignment vertical="top"/>
    </xf>
    <xf numFmtId="0" fontId="0" fillId="0" borderId="16" xfId="0" applyFill="1" applyBorder="1" applyAlignment="1">
      <alignment vertical="top"/>
    </xf>
    <xf numFmtId="0" fontId="0" fillId="0" borderId="30" xfId="0" applyFill="1" applyBorder="1" applyAlignment="1">
      <alignment vertical="top"/>
    </xf>
    <xf numFmtId="0" fontId="0" fillId="7" borderId="15" xfId="0" applyFill="1" applyBorder="1" applyAlignment="1">
      <alignment vertical="top"/>
    </xf>
    <xf numFmtId="0" fontId="25" fillId="0" borderId="14" xfId="0" applyFont="1" applyBorder="1" applyAlignment="1">
      <alignment vertical="top"/>
    </xf>
    <xf numFmtId="0" fontId="25" fillId="0" borderId="31" xfId="0" applyFont="1" applyBorder="1" applyAlignment="1">
      <alignment vertical="top"/>
    </xf>
    <xf numFmtId="3" fontId="25" fillId="0" borderId="29" xfId="0" applyNumberFormat="1" applyFont="1" applyBorder="1" applyAlignment="1">
      <alignment vertical="top"/>
    </xf>
    <xf numFmtId="0" fontId="25" fillId="0" borderId="30" xfId="0" applyFont="1" applyBorder="1" applyAlignment="1">
      <alignment vertical="top"/>
    </xf>
    <xf numFmtId="0" fontId="25" fillId="0" borderId="0" xfId="0" applyFont="1"/>
    <xf numFmtId="0" fontId="26" fillId="3" borderId="0" xfId="0" applyFont="1" applyFill="1" applyAlignment="1">
      <alignment horizontal="left" vertical="center" readingOrder="1"/>
    </xf>
    <xf numFmtId="3" fontId="19" fillId="3" borderId="3" xfId="0" applyNumberFormat="1" applyFont="1" applyFill="1" applyBorder="1" applyAlignment="1">
      <alignment vertical="center"/>
    </xf>
    <xf numFmtId="0" fontId="18" fillId="2" borderId="7" xfId="0" applyFont="1" applyFill="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2" borderId="27" xfId="0" applyFont="1" applyFill="1" applyBorder="1" applyAlignment="1">
      <alignment horizontal="center" vertical="center"/>
    </xf>
    <xf numFmtId="0" fontId="18" fillId="0" borderId="17" xfId="0" applyFont="1" applyBorder="1" applyAlignment="1">
      <alignment horizontal="center" vertical="center"/>
    </xf>
    <xf numFmtId="0" fontId="18" fillId="0" borderId="28" xfId="0" applyFont="1" applyBorder="1" applyAlignment="1">
      <alignment horizontal="center" vertical="center"/>
    </xf>
    <xf numFmtId="0" fontId="20" fillId="0" borderId="34"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6" xfId="0" applyFont="1" applyBorder="1" applyAlignment="1">
      <alignment horizontal="center"/>
    </xf>
    <xf numFmtId="0" fontId="1" fillId="0" borderId="3" xfId="0" applyFont="1" applyBorder="1" applyAlignment="1">
      <alignment horizontal="center"/>
    </xf>
    <xf numFmtId="0" fontId="6" fillId="0" borderId="22" xfId="0" applyFont="1" applyBorder="1" applyAlignment="1">
      <alignment horizontal="center"/>
    </xf>
    <xf numFmtId="0" fontId="6" fillId="0" borderId="19" xfId="0" applyFont="1" applyBorder="1" applyAlignment="1">
      <alignment horizontal="center"/>
    </xf>
    <xf numFmtId="0" fontId="1" fillId="4" borderId="0" xfId="0" applyFont="1" applyFill="1" applyAlignment="1">
      <alignment horizontal="center"/>
    </xf>
    <xf numFmtId="0" fontId="0" fillId="0" borderId="0" xfId="0" applyAlignment="1">
      <alignment horizontal="center"/>
    </xf>
    <xf numFmtId="0" fontId="1" fillId="4" borderId="0" xfId="0" applyFont="1" applyFill="1" applyAlignment="1">
      <alignment horizontal="center" vertical="top"/>
    </xf>
    <xf numFmtId="0" fontId="0" fillId="0" borderId="0" xfId="0" applyAlignment="1">
      <alignment horizontal="center" vertical="top"/>
    </xf>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1" fillId="0" borderId="25" xfId="0" applyFont="1" applyBorder="1" applyAlignment="1">
      <alignment horizontal="center"/>
    </xf>
    <xf numFmtId="0" fontId="1" fillId="0" borderId="21" xfId="0" applyFont="1" applyBorder="1" applyAlignment="1">
      <alignment horizontal="center"/>
    </xf>
    <xf numFmtId="0" fontId="1" fillId="0" borderId="26" xfId="0" applyFont="1" applyBorder="1" applyAlignment="1">
      <alignment horizontal="center"/>
    </xf>
  </cellXfs>
  <cellStyles count="2">
    <cellStyle name="Normaallaad" xfId="0" builtinId="0"/>
    <cellStyle name="Normaallaad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32"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Regina Vällik" id="{352C765E-EB1B-4A77-BE9E-B9F0E18EDADA}" userId="S::Regina.Vallik@fin.ee::5b5a3f42-6e88-47f6-a870-10b2ec65be22"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ustomProperty" Target="../customProperty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ustomProperty" Target="../customProperty2.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ustomProperty" Target="../customProperty3.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ustomProperty" Target="../customProperty5.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ustomProperty" Target="../customProperty6.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5"/>
  <sheetViews>
    <sheetView tabSelected="1" workbookViewId="0">
      <pane xSplit="9" ySplit="3" topLeftCell="J10" activePane="bottomRight" state="frozen"/>
      <selection pane="topRight" activeCell="I1" sqref="I1"/>
      <selection pane="bottomLeft" activeCell="A3" sqref="A3"/>
      <selection pane="bottomRight" activeCell="C15" sqref="C15"/>
    </sheetView>
  </sheetViews>
  <sheetFormatPr defaultColWidth="8.85546875" defaultRowHeight="15" x14ac:dyDescent="0.25"/>
  <cols>
    <col min="1" max="1" width="25.5703125" style="147" customWidth="1"/>
    <col min="2" max="2" width="24.140625" style="147" customWidth="1"/>
    <col min="3" max="3" width="12.7109375" style="147" customWidth="1"/>
    <col min="4" max="4" width="15.28515625" style="157" customWidth="1"/>
    <col min="5" max="5" width="28.140625" style="147" customWidth="1"/>
    <col min="6" max="6" width="13.42578125" style="196" customWidth="1"/>
    <col min="7" max="7" width="10.140625" style="157" customWidth="1"/>
    <col min="8" max="8" width="17.5703125" style="157" customWidth="1"/>
    <col min="9" max="9" width="14.85546875" style="147" customWidth="1"/>
    <col min="10" max="13" width="12.140625" style="147" customWidth="1"/>
    <col min="14" max="14" width="12.42578125" style="147" customWidth="1"/>
    <col min="15" max="15" width="10.85546875" style="147" customWidth="1"/>
    <col min="16" max="16" width="11.7109375" style="147" customWidth="1"/>
    <col min="17" max="17" width="12.7109375" style="147" customWidth="1"/>
    <col min="18" max="18" width="10.85546875" style="147" customWidth="1"/>
    <col min="19" max="19" width="11.7109375" style="147" customWidth="1"/>
    <col min="20" max="20" width="11.85546875" style="147" customWidth="1"/>
    <col min="21" max="21" width="10.85546875" style="147" customWidth="1"/>
    <col min="22" max="22" width="11.5703125" style="147" customWidth="1"/>
    <col min="23" max="23" width="12.28515625" style="147" customWidth="1"/>
    <col min="24" max="24" width="10.85546875" style="147" customWidth="1"/>
    <col min="25" max="25" width="11.42578125" style="147" customWidth="1"/>
    <col min="26" max="16384" width="8.85546875" style="147"/>
  </cols>
  <sheetData>
    <row r="1" spans="1:25" ht="15.75" thickBot="1" x14ac:dyDescent="0.3">
      <c r="J1" s="250" t="s">
        <v>280</v>
      </c>
      <c r="K1" s="250"/>
      <c r="L1" s="250"/>
      <c r="M1" s="250"/>
    </row>
    <row r="2" spans="1:25" ht="15.75" thickBot="1" x14ac:dyDescent="0.3">
      <c r="A2" s="158"/>
      <c r="B2" s="140"/>
      <c r="C2" s="140"/>
      <c r="D2" s="141"/>
      <c r="E2" s="142"/>
      <c r="G2" s="141"/>
      <c r="H2" s="141"/>
      <c r="I2" s="143"/>
      <c r="J2" s="144">
        <v>2022</v>
      </c>
      <c r="K2" s="145">
        <v>2023</v>
      </c>
      <c r="L2" s="145">
        <v>2024</v>
      </c>
      <c r="M2" s="146">
        <v>2025</v>
      </c>
      <c r="N2" s="244">
        <v>2022</v>
      </c>
      <c r="O2" s="245"/>
      <c r="P2" s="246"/>
      <c r="Q2" s="244">
        <v>2023</v>
      </c>
      <c r="R2" s="245"/>
      <c r="S2" s="246"/>
      <c r="T2" s="244">
        <v>2024</v>
      </c>
      <c r="U2" s="245"/>
      <c r="V2" s="245"/>
      <c r="W2" s="247">
        <v>2025</v>
      </c>
      <c r="X2" s="248"/>
      <c r="Y2" s="249"/>
    </row>
    <row r="3" spans="1:25" ht="60.75" thickBot="1" x14ac:dyDescent="0.3">
      <c r="A3" s="148" t="s">
        <v>0</v>
      </c>
      <c r="B3" s="149" t="s">
        <v>2</v>
      </c>
      <c r="C3" s="149" t="s">
        <v>3</v>
      </c>
      <c r="D3" s="150" t="s">
        <v>53</v>
      </c>
      <c r="E3" s="150" t="s">
        <v>49</v>
      </c>
      <c r="F3" s="197" t="s">
        <v>4</v>
      </c>
      <c r="G3" s="150" t="s">
        <v>5</v>
      </c>
      <c r="H3" s="200" t="s">
        <v>282</v>
      </c>
      <c r="I3" s="150" t="s">
        <v>62</v>
      </c>
      <c r="J3" s="188"/>
      <c r="K3" s="188"/>
      <c r="L3" s="188"/>
      <c r="M3" s="188"/>
      <c r="N3" s="188" t="s">
        <v>51</v>
      </c>
      <c r="O3" s="152" t="s">
        <v>50</v>
      </c>
      <c r="P3" s="153" t="s">
        <v>52</v>
      </c>
      <c r="Q3" s="151" t="s">
        <v>51</v>
      </c>
      <c r="R3" s="152" t="s">
        <v>50</v>
      </c>
      <c r="S3" s="153" t="s">
        <v>52</v>
      </c>
      <c r="T3" s="151" t="s">
        <v>51</v>
      </c>
      <c r="U3" s="152" t="s">
        <v>50</v>
      </c>
      <c r="V3" s="153" t="s">
        <v>52</v>
      </c>
      <c r="W3" s="151" t="s">
        <v>51</v>
      </c>
      <c r="X3" s="152" t="s">
        <v>50</v>
      </c>
      <c r="Y3" s="153" t="s">
        <v>52</v>
      </c>
    </row>
    <row r="4" spans="1:25" x14ac:dyDescent="0.25">
      <c r="A4" s="154" t="s">
        <v>147</v>
      </c>
      <c r="B4" s="154"/>
      <c r="C4" s="154"/>
      <c r="D4" s="155"/>
      <c r="E4" s="191"/>
      <c r="F4" s="198"/>
      <c r="G4" s="192"/>
      <c r="H4" s="192">
        <f>SUM(H5:H10)</f>
        <v>5475006</v>
      </c>
      <c r="I4" s="193">
        <f t="shared" ref="I4" si="0">SUM(I5:I9)</f>
        <v>19144182</v>
      </c>
      <c r="J4" s="193">
        <f>SUM(J5:J10)</f>
        <v>5475006</v>
      </c>
      <c r="K4" s="193">
        <f t="shared" ref="K4:Y4" si="1">SUM(K5:K10)</f>
        <v>7292524</v>
      </c>
      <c r="L4" s="193">
        <f t="shared" si="1"/>
        <v>7303224</v>
      </c>
      <c r="M4" s="193">
        <f t="shared" si="1"/>
        <v>7133124</v>
      </c>
      <c r="N4" s="193">
        <f t="shared" si="1"/>
        <v>1961300</v>
      </c>
      <c r="O4" s="193">
        <f t="shared" si="1"/>
        <v>1409406</v>
      </c>
      <c r="P4" s="193">
        <f t="shared" si="1"/>
        <v>2104300</v>
      </c>
      <c r="Q4" s="193">
        <f t="shared" si="1"/>
        <v>1910000</v>
      </c>
      <c r="R4" s="193">
        <f t="shared" si="1"/>
        <v>2722824</v>
      </c>
      <c r="S4" s="193">
        <f t="shared" si="1"/>
        <v>2659700</v>
      </c>
      <c r="T4" s="193">
        <f t="shared" si="1"/>
        <v>2190000</v>
      </c>
      <c r="U4" s="193">
        <f t="shared" si="1"/>
        <v>2826400</v>
      </c>
      <c r="V4" s="193">
        <f t="shared" si="1"/>
        <v>2286824</v>
      </c>
      <c r="W4" s="193">
        <f t="shared" si="1"/>
        <v>1910000</v>
      </c>
      <c r="X4" s="193">
        <f t="shared" si="1"/>
        <v>3024700</v>
      </c>
      <c r="Y4" s="193">
        <f t="shared" si="1"/>
        <v>2198424</v>
      </c>
    </row>
    <row r="5" spans="1:25" s="167" customFormat="1" ht="75" x14ac:dyDescent="0.25">
      <c r="A5" s="156" t="s">
        <v>66</v>
      </c>
      <c r="B5" s="156" t="s">
        <v>67</v>
      </c>
      <c r="C5" s="161" t="s">
        <v>164</v>
      </c>
      <c r="D5" s="186" t="s">
        <v>166</v>
      </c>
      <c r="E5" s="161" t="s">
        <v>343</v>
      </c>
      <c r="F5" s="199">
        <v>1</v>
      </c>
      <c r="G5" s="162" t="s">
        <v>174</v>
      </c>
      <c r="H5" s="194">
        <v>411246</v>
      </c>
      <c r="I5" s="194">
        <f>SUM(J5:M5)</f>
        <v>513746</v>
      </c>
      <c r="J5" s="243">
        <f>SUM(N5:P5)</f>
        <v>141246</v>
      </c>
      <c r="K5" s="163">
        <f>SUM(Q5:S5)</f>
        <v>372500</v>
      </c>
      <c r="L5" s="163">
        <f>SUM(T5:V5)</f>
        <v>0</v>
      </c>
      <c r="M5" s="163">
        <f>SUM(W5:Y5)</f>
        <v>0</v>
      </c>
      <c r="N5" s="189">
        <f>'RES4'!C25</f>
        <v>0</v>
      </c>
      <c r="O5" s="163">
        <f>'RES4'!C28</f>
        <v>141246</v>
      </c>
      <c r="P5" s="169">
        <f>'RES4'!C29</f>
        <v>0</v>
      </c>
      <c r="Q5" s="168">
        <f>'RES4'!D25</f>
        <v>0</v>
      </c>
      <c r="R5" s="163">
        <f>'RES4'!D28</f>
        <v>372500</v>
      </c>
      <c r="S5" s="169">
        <v>0</v>
      </c>
      <c r="T5" s="168">
        <f>'RES4'!E25</f>
        <v>0</v>
      </c>
      <c r="U5" s="163">
        <f>'RES4'!E28</f>
        <v>398700</v>
      </c>
      <c r="V5" s="169">
        <f>'RES4'!E29</f>
        <v>-398700</v>
      </c>
      <c r="W5" s="168">
        <f>'RES4'!F25</f>
        <v>0</v>
      </c>
      <c r="X5" s="178">
        <f>'RES4'!F28</f>
        <v>426800</v>
      </c>
      <c r="Y5" s="169">
        <f>'RES4'!F29</f>
        <v>-426800</v>
      </c>
    </row>
    <row r="6" spans="1:25" s="167" customFormat="1" ht="45" x14ac:dyDescent="0.25">
      <c r="A6" s="156" t="s">
        <v>66</v>
      </c>
      <c r="B6" s="156" t="s">
        <v>67</v>
      </c>
      <c r="C6" s="160" t="s">
        <v>163</v>
      </c>
      <c r="D6" s="187" t="s">
        <v>165</v>
      </c>
      <c r="E6" s="161" t="s">
        <v>68</v>
      </c>
      <c r="F6" s="199">
        <v>1</v>
      </c>
      <c r="G6" s="162" t="s">
        <v>175</v>
      </c>
      <c r="H6" s="194">
        <v>584000</v>
      </c>
      <c r="I6" s="194">
        <f>SUM(J6:M6)</f>
        <v>2738800</v>
      </c>
      <c r="J6" s="163">
        <f>SUM(N6:P6)</f>
        <v>584000</v>
      </c>
      <c r="K6" s="163">
        <f>SUM(Q6:S6)</f>
        <v>603600</v>
      </c>
      <c r="L6" s="163">
        <f>SUM(T6:V6)</f>
        <v>904400</v>
      </c>
      <c r="M6" s="163">
        <f>SUM(W6:Y6)</f>
        <v>646800</v>
      </c>
      <c r="N6" s="190">
        <f>'RES5'!C27</f>
        <v>0</v>
      </c>
      <c r="O6" s="165">
        <f>'RES5'!C30</f>
        <v>280000</v>
      </c>
      <c r="P6" s="166">
        <f>'RES5'!C31</f>
        <v>304000</v>
      </c>
      <c r="Q6" s="164">
        <f>'RES5'!D27</f>
        <v>0</v>
      </c>
      <c r="R6" s="165">
        <f>'RES5'!D30</f>
        <v>299600</v>
      </c>
      <c r="S6" s="166">
        <f>'RES5'!D31</f>
        <v>304000</v>
      </c>
      <c r="T6" s="164">
        <f>'RES5'!E27</f>
        <v>280000</v>
      </c>
      <c r="U6" s="165">
        <f>'RES5'!E30</f>
        <v>320400</v>
      </c>
      <c r="V6" s="166">
        <f>'RES5'!E31</f>
        <v>304000</v>
      </c>
      <c r="W6" s="164">
        <f>'RES5'!F27</f>
        <v>0</v>
      </c>
      <c r="X6" s="165">
        <f>'RES5'!F30</f>
        <v>342800</v>
      </c>
      <c r="Y6" s="166">
        <f>'RES5'!F31</f>
        <v>304000</v>
      </c>
    </row>
    <row r="7" spans="1:25" s="167" customFormat="1" ht="90" x14ac:dyDescent="0.25">
      <c r="A7" s="156" t="s">
        <v>66</v>
      </c>
      <c r="B7" s="156" t="s">
        <v>67</v>
      </c>
      <c r="C7" s="161" t="s">
        <v>219</v>
      </c>
      <c r="D7" s="186" t="s">
        <v>166</v>
      </c>
      <c r="E7" s="161" t="s">
        <v>279</v>
      </c>
      <c r="F7" s="199">
        <v>1</v>
      </c>
      <c r="G7" s="162" t="s">
        <v>176</v>
      </c>
      <c r="H7" s="194">
        <v>790812</v>
      </c>
      <c r="I7" s="194">
        <f>SUM(J7:M7)</f>
        <v>5147312</v>
      </c>
      <c r="J7" s="163">
        <f t="shared" ref="J7:J10" si="2">SUM(N7:P7)</f>
        <v>790812</v>
      </c>
      <c r="K7" s="163">
        <f t="shared" ref="K7:K9" si="3">SUM(Q7:S7)</f>
        <v>1398300</v>
      </c>
      <c r="L7" s="163">
        <f t="shared" ref="L7:L9" si="4">SUM(T7:V7)</f>
        <v>1451200</v>
      </c>
      <c r="M7" s="163">
        <f t="shared" ref="M7:M9" si="5">SUM(W7:Y7)</f>
        <v>1507000</v>
      </c>
      <c r="N7" s="190">
        <f>'RES6'!C27</f>
        <v>140000</v>
      </c>
      <c r="O7" s="165">
        <f>'RES6'!C30</f>
        <v>186512</v>
      </c>
      <c r="P7" s="166">
        <f>'RES6'!C31</f>
        <v>464300</v>
      </c>
      <c r="Q7" s="164">
        <f>'RES6'!D27</f>
        <v>140000</v>
      </c>
      <c r="R7" s="165">
        <f>'RES6'!D30</f>
        <v>447200</v>
      </c>
      <c r="S7" s="166">
        <f>'RES6'!D31</f>
        <v>811100</v>
      </c>
      <c r="T7" s="164">
        <f>'RES6'!E27</f>
        <v>140000</v>
      </c>
      <c r="U7" s="165">
        <f>'RES6'!E30</f>
        <v>478600</v>
      </c>
      <c r="V7" s="166">
        <f>'RES6'!E31</f>
        <v>832600</v>
      </c>
      <c r="W7" s="164">
        <f>'RES6'!D27</f>
        <v>140000</v>
      </c>
      <c r="X7" s="165">
        <f>'RES6'!F30</f>
        <v>512100</v>
      </c>
      <c r="Y7" s="166">
        <f>'RES6'!F31</f>
        <v>854900</v>
      </c>
    </row>
    <row r="8" spans="1:25" s="167" customFormat="1" ht="45" x14ac:dyDescent="0.25">
      <c r="A8" s="156" t="s">
        <v>66</v>
      </c>
      <c r="B8" s="156" t="s">
        <v>67</v>
      </c>
      <c r="C8" s="161" t="s">
        <v>162</v>
      </c>
      <c r="D8" s="186" t="s">
        <v>166</v>
      </c>
      <c r="E8" s="161" t="s">
        <v>69</v>
      </c>
      <c r="F8" s="199">
        <v>1</v>
      </c>
      <c r="G8" s="162" t="s">
        <v>177</v>
      </c>
      <c r="H8" s="194">
        <v>995346</v>
      </c>
      <c r="I8" s="194">
        <f t="shared" ref="I8:I10" si="6">SUM(J8:M8)</f>
        <v>5073946</v>
      </c>
      <c r="J8" s="163">
        <f t="shared" si="2"/>
        <v>995346</v>
      </c>
      <c r="K8" s="163">
        <f t="shared" si="3"/>
        <v>1346200</v>
      </c>
      <c r="L8" s="163">
        <f t="shared" si="4"/>
        <v>1359200</v>
      </c>
      <c r="M8" s="163">
        <f t="shared" si="5"/>
        <v>1373200</v>
      </c>
      <c r="N8" s="190">
        <f>'RES7'!C29</f>
        <v>661300</v>
      </c>
      <c r="O8" s="165">
        <f>'RES7'!C33</f>
        <v>174046</v>
      </c>
      <c r="P8" s="166">
        <f>'RES7'!C34</f>
        <v>160000</v>
      </c>
      <c r="Q8" s="164">
        <f>'RES7'!D29</f>
        <v>1000000</v>
      </c>
      <c r="R8" s="165">
        <f>'RES7'!D33</f>
        <v>186200</v>
      </c>
      <c r="S8" s="166">
        <f>'RES7'!D34</f>
        <v>160000</v>
      </c>
      <c r="T8" s="164">
        <f>'RES7'!E29</f>
        <v>1000000</v>
      </c>
      <c r="U8" s="165">
        <f>'RES7'!E33</f>
        <v>199200</v>
      </c>
      <c r="V8" s="166">
        <f>'RES7'!E34</f>
        <v>160000</v>
      </c>
      <c r="W8" s="164">
        <f>'RES7'!F29</f>
        <v>1000000</v>
      </c>
      <c r="X8" s="165">
        <f>'RES7'!F33</f>
        <v>213200</v>
      </c>
      <c r="Y8" s="166">
        <f>'RES7'!F34</f>
        <v>160000</v>
      </c>
    </row>
    <row r="9" spans="1:25" s="167" customFormat="1" ht="90" x14ac:dyDescent="0.25">
      <c r="A9" s="156" t="s">
        <v>66</v>
      </c>
      <c r="B9" s="156" t="s">
        <v>67</v>
      </c>
      <c r="C9" s="161" t="s">
        <v>161</v>
      </c>
      <c r="D9" s="186" t="s">
        <v>166</v>
      </c>
      <c r="E9" s="161" t="s">
        <v>70</v>
      </c>
      <c r="F9" s="199">
        <v>1</v>
      </c>
      <c r="G9" s="162" t="s">
        <v>178</v>
      </c>
      <c r="H9" s="194">
        <v>678678</v>
      </c>
      <c r="I9" s="194">
        <f>SUM(J9:M9)</f>
        <v>5670378</v>
      </c>
      <c r="J9" s="163">
        <f t="shared" si="2"/>
        <v>948678</v>
      </c>
      <c r="K9" s="163">
        <f t="shared" si="3"/>
        <v>1557000</v>
      </c>
      <c r="L9" s="163">
        <f t="shared" si="4"/>
        <v>1573500</v>
      </c>
      <c r="M9" s="163">
        <f t="shared" si="5"/>
        <v>1591200</v>
      </c>
      <c r="N9" s="190">
        <f>'RES8'!C32</f>
        <v>780000</v>
      </c>
      <c r="O9" s="165">
        <f>'RES8'!C37</f>
        <v>78678</v>
      </c>
      <c r="P9" s="166">
        <f>'RES8'!C38</f>
        <v>90000</v>
      </c>
      <c r="Q9" s="164">
        <f>'RES8'!D32</f>
        <v>770000</v>
      </c>
      <c r="R9" s="165">
        <f>'RES8'!D37</f>
        <v>235500</v>
      </c>
      <c r="S9" s="166">
        <f>'RES8'!D38</f>
        <v>551500</v>
      </c>
      <c r="T9" s="164">
        <f>'RES8'!E32</f>
        <v>770000</v>
      </c>
      <c r="U9" s="165">
        <f>'RES8'!E37</f>
        <v>252000</v>
      </c>
      <c r="V9" s="166">
        <f>'RES8'!E38</f>
        <v>551500</v>
      </c>
      <c r="W9" s="164">
        <f>'RES8'!F32</f>
        <v>770000</v>
      </c>
      <c r="X9" s="179">
        <f>'RES8'!F37</f>
        <v>269700</v>
      </c>
      <c r="Y9" s="166">
        <f>'RES8'!F38</f>
        <v>551500</v>
      </c>
    </row>
    <row r="10" spans="1:25" s="167" customFormat="1" ht="60" x14ac:dyDescent="0.25">
      <c r="A10" s="156" t="s">
        <v>66</v>
      </c>
      <c r="B10" s="156" t="s">
        <v>67</v>
      </c>
      <c r="C10" s="161" t="s">
        <v>281</v>
      </c>
      <c r="D10" s="186" t="s">
        <v>166</v>
      </c>
      <c r="E10" s="161" t="s">
        <v>342</v>
      </c>
      <c r="F10" s="199">
        <v>1</v>
      </c>
      <c r="G10" s="162" t="s">
        <v>329</v>
      </c>
      <c r="H10" s="194">
        <v>2014924</v>
      </c>
      <c r="I10" s="194">
        <f t="shared" si="6"/>
        <v>8059696</v>
      </c>
      <c r="J10" s="163">
        <f t="shared" si="2"/>
        <v>2014924</v>
      </c>
      <c r="K10" s="163">
        <f t="shared" ref="K10" si="7">SUM(Q10:S10)</f>
        <v>2014924</v>
      </c>
      <c r="L10" s="163">
        <f t="shared" ref="L10" si="8">SUM(T10:V10)</f>
        <v>2014924</v>
      </c>
      <c r="M10" s="163">
        <f t="shared" ref="M10" si="9">SUM(W10:Y10)</f>
        <v>2014924</v>
      </c>
      <c r="N10" s="163">
        <f>'RES9'!C30</f>
        <v>380000</v>
      </c>
      <c r="O10" s="163">
        <f>'RES9'!C34</f>
        <v>548924</v>
      </c>
      <c r="P10" s="169">
        <f>'RES9'!C35</f>
        <v>1086000</v>
      </c>
      <c r="Q10" s="168">
        <f>'RES9'!D30</f>
        <v>0</v>
      </c>
      <c r="R10" s="163">
        <f>'RES9'!D34</f>
        <v>1181824</v>
      </c>
      <c r="S10" s="169">
        <f>'RES9'!D35</f>
        <v>833100</v>
      </c>
      <c r="T10" s="168">
        <f>'RES9'!E30</f>
        <v>0</v>
      </c>
      <c r="U10" s="163">
        <f>'RES9'!E34</f>
        <v>1177500</v>
      </c>
      <c r="V10" s="169">
        <f>'RES9'!E35</f>
        <v>837424</v>
      </c>
      <c r="W10" s="168">
        <f>'RES9'!F30</f>
        <v>0</v>
      </c>
      <c r="X10" s="178">
        <f>'RES9'!F34</f>
        <v>1260100</v>
      </c>
      <c r="Y10" s="169">
        <f>'RES9'!F35</f>
        <v>754824</v>
      </c>
    </row>
    <row r="12" spans="1:25" x14ac:dyDescent="0.25">
      <c r="A12" s="242" t="s">
        <v>344</v>
      </c>
      <c r="H12" s="201"/>
      <c r="J12" s="195"/>
      <c r="K12" s="195"/>
      <c r="L12" s="195"/>
      <c r="M12" s="195"/>
    </row>
    <row r="13" spans="1:25" x14ac:dyDescent="0.25">
      <c r="J13" s="195"/>
    </row>
    <row r="14" spans="1:25" x14ac:dyDescent="0.25">
      <c r="J14" s="195"/>
    </row>
    <row r="15" spans="1:25" x14ac:dyDescent="0.25">
      <c r="J15" s="195"/>
    </row>
  </sheetData>
  <customSheetViews>
    <customSheetView guid="{B6CE57D0-3B00-4AA5-8045-5810B3AC38EF}">
      <pane xSplit="8" ySplit="2" topLeftCell="I3" activePane="bottomRight" state="frozen"/>
      <selection pane="bottomRight" activeCell="F9" sqref="F9"/>
      <pageMargins left="0.7" right="0.7" top="0.75" bottom="0.75" header="0.3" footer="0.3"/>
      <pageSetup orientation="portrait" r:id="rId1"/>
    </customSheetView>
    <customSheetView guid="{C5B98205-32EA-4978-BDE9-09FE8244BB3C}">
      <pane xSplit="8" ySplit="2" topLeftCell="N9" activePane="bottomRight" state="frozen"/>
      <selection pane="bottomRight" activeCell="O11" sqref="O11"/>
      <pageMargins left="0.7" right="0.7" top="0.75" bottom="0.75" header="0.3" footer="0.3"/>
      <pageSetup orientation="portrait" r:id="rId2"/>
    </customSheetView>
    <customSheetView guid="{10B7B1F1-9BAA-4B0F-A300-C1E3D2D5095B}">
      <pane xSplit="8" ySplit="2" topLeftCell="I6" activePane="bottomRight" state="frozen"/>
      <selection pane="bottomRight" activeCell="E4" sqref="E4:E13"/>
      <pageMargins left="0.7" right="0.7" top="0.75" bottom="0.75" header="0.3" footer="0.3"/>
      <pageSetup orientation="portrait" r:id="rId3"/>
    </customSheetView>
    <customSheetView guid="{A0472B5E-ED4B-42A6-A051-1D638E3EAB28}">
      <pane xSplit="8" ySplit="2" topLeftCell="I6" activePane="bottomRight" state="frozen"/>
      <selection pane="bottomRight" activeCell="E11" sqref="E11"/>
      <pageMargins left="0.7" right="0.7" top="0.75" bottom="0.75" header="0.3" footer="0.3"/>
      <pageSetup orientation="portrait" r:id="rId4"/>
    </customSheetView>
  </customSheetViews>
  <mergeCells count="5">
    <mergeCell ref="N2:P2"/>
    <mergeCell ref="Q2:S2"/>
    <mergeCell ref="T2:V2"/>
    <mergeCell ref="W2:Y2"/>
    <mergeCell ref="J1:M1"/>
  </mergeCells>
  <pageMargins left="0.7" right="0.7" top="0.75" bottom="0.75" header="0.3" footer="0.3"/>
  <pageSetup orientation="portrait" r:id="rId5"/>
  <customProperties>
    <customPr name="EpmWorksheetKeyString_GUID" r:id="rId6"/>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6"/>
  <sheetViews>
    <sheetView workbookViewId="0">
      <selection activeCell="J2" sqref="J2"/>
    </sheetView>
  </sheetViews>
  <sheetFormatPr defaultRowHeight="15" x14ac:dyDescent="0.25"/>
  <cols>
    <col min="1" max="1" width="13.85546875" customWidth="1"/>
    <col min="2" max="2" width="21.140625" customWidth="1"/>
    <col min="3" max="3" width="21.7109375" customWidth="1"/>
    <col min="4" max="4" width="15.5703125" customWidth="1"/>
    <col min="5" max="6" width="13.7109375" customWidth="1"/>
    <col min="7" max="7" width="12.85546875" customWidth="1"/>
    <col min="8" max="8" width="14.42578125" customWidth="1"/>
    <col min="9" max="9" width="19.85546875" customWidth="1"/>
    <col min="10" max="14" width="13.7109375" customWidth="1"/>
    <col min="15" max="25" width="11.85546875" customWidth="1"/>
    <col min="26" max="28" width="29.85546875" customWidth="1"/>
  </cols>
  <sheetData>
    <row r="1" spans="1:12" ht="23.25" x14ac:dyDescent="0.35">
      <c r="A1" s="12" t="s">
        <v>39</v>
      </c>
      <c r="B1" s="12"/>
      <c r="C1" s="77" t="s">
        <v>73</v>
      </c>
      <c r="J1" s="74"/>
    </row>
    <row r="2" spans="1:12" ht="23.25" x14ac:dyDescent="0.35">
      <c r="A2" s="56" t="s">
        <v>40</v>
      </c>
      <c r="B2" s="12"/>
      <c r="C2" s="62">
        <f>SUM(D52+G52+J52+M52)</f>
        <v>513746</v>
      </c>
      <c r="J2" s="74" t="s">
        <v>65</v>
      </c>
    </row>
    <row r="4" spans="1:12" s="13" customFormat="1" ht="21" x14ac:dyDescent="0.35">
      <c r="A4" s="13" t="s">
        <v>42</v>
      </c>
    </row>
    <row r="5" spans="1:12" ht="24" thickBot="1" x14ac:dyDescent="0.4">
      <c r="A5" s="77" t="s">
        <v>138</v>
      </c>
      <c r="D5" s="3"/>
      <c r="H5" s="77"/>
    </row>
    <row r="6" spans="1:12" ht="16.5" customHeight="1" x14ac:dyDescent="0.25">
      <c r="B6" s="251" t="s">
        <v>7</v>
      </c>
      <c r="C6" s="252"/>
      <c r="D6" s="66">
        <f>H14</f>
        <v>0</v>
      </c>
    </row>
    <row r="7" spans="1:12" ht="16.5" customHeight="1" x14ac:dyDescent="0.25">
      <c r="B7" s="253" t="s">
        <v>8</v>
      </c>
      <c r="C7" s="254"/>
      <c r="D7" s="67">
        <f>H23</f>
        <v>513746</v>
      </c>
    </row>
    <row r="8" spans="1:12" ht="16.5" customHeight="1" thickBot="1" x14ac:dyDescent="0.3">
      <c r="B8" s="255" t="s">
        <v>9</v>
      </c>
      <c r="C8" s="256"/>
      <c r="D8" s="73">
        <f>D6-D7</f>
        <v>-513746</v>
      </c>
    </row>
    <row r="9" spans="1:12" ht="16.5" customHeight="1" x14ac:dyDescent="0.25">
      <c r="B9" s="76"/>
      <c r="C9" s="76"/>
    </row>
    <row r="10" spans="1:12" ht="16.5" customHeight="1" x14ac:dyDescent="0.25">
      <c r="A10" s="75"/>
    </row>
    <row r="11" spans="1:12" ht="16.5" customHeight="1" x14ac:dyDescent="0.25">
      <c r="B11" s="257" t="s">
        <v>58</v>
      </c>
      <c r="C11" s="258"/>
      <c r="D11" s="258"/>
      <c r="E11" s="258"/>
      <c r="F11" s="258"/>
      <c r="G11" s="258"/>
      <c r="H11" s="258"/>
      <c r="I11" s="258"/>
    </row>
    <row r="12" spans="1:12" ht="16.5" customHeight="1" thickBot="1" x14ac:dyDescent="0.3">
      <c r="B12" s="4"/>
      <c r="C12" s="124"/>
      <c r="D12" s="124"/>
      <c r="E12" s="124"/>
      <c r="F12" s="124"/>
      <c r="G12" s="124"/>
      <c r="H12" s="128"/>
      <c r="I12" s="128"/>
    </row>
    <row r="13" spans="1:12" s="129" customFormat="1" ht="67.5" customHeight="1" thickBot="1" x14ac:dyDescent="0.4">
      <c r="A13" s="79"/>
      <c r="B13" s="55" t="s">
        <v>38</v>
      </c>
      <c r="C13" s="18">
        <v>2022</v>
      </c>
      <c r="D13" s="18">
        <v>2023</v>
      </c>
      <c r="E13" s="18">
        <v>2024</v>
      </c>
      <c r="F13" s="18">
        <v>2025</v>
      </c>
      <c r="G13" s="18">
        <v>2026</v>
      </c>
      <c r="H13" s="44" t="s">
        <v>10</v>
      </c>
      <c r="I13" s="47" t="s">
        <v>36</v>
      </c>
      <c r="J13" s="40"/>
      <c r="K13" s="41"/>
      <c r="L13" s="41"/>
    </row>
    <row r="14" spans="1:12" s="129" customFormat="1" ht="16.5" customHeight="1" x14ac:dyDescent="0.25">
      <c r="B14" s="48" t="s">
        <v>6</v>
      </c>
      <c r="C14" s="49">
        <f t="shared" ref="C14:H14" si="0">SUM(C15+C17)</f>
        <v>0</v>
      </c>
      <c r="D14" s="49">
        <f t="shared" si="0"/>
        <v>0</v>
      </c>
      <c r="E14" s="49">
        <f t="shared" si="0"/>
        <v>0</v>
      </c>
      <c r="F14" s="49">
        <f t="shared" si="0"/>
        <v>0</v>
      </c>
      <c r="G14" s="49">
        <f t="shared" si="0"/>
        <v>0</v>
      </c>
      <c r="H14" s="65">
        <f t="shared" si="0"/>
        <v>0</v>
      </c>
      <c r="I14" s="127"/>
      <c r="J14" s="42"/>
      <c r="K14" s="75"/>
      <c r="L14" s="43"/>
    </row>
    <row r="15" spans="1:12" s="129" customFormat="1" ht="16.5" customHeight="1" x14ac:dyDescent="0.25">
      <c r="B15" s="45" t="s">
        <v>44</v>
      </c>
      <c r="C15" s="46">
        <f t="shared" ref="C15:H15" si="1">SUM(C16:C16)</f>
        <v>0</v>
      </c>
      <c r="D15" s="46">
        <f t="shared" si="1"/>
        <v>0</v>
      </c>
      <c r="E15" s="46">
        <f t="shared" si="1"/>
        <v>0</v>
      </c>
      <c r="F15" s="46">
        <f t="shared" si="1"/>
        <v>0</v>
      </c>
      <c r="G15" s="46">
        <f t="shared" si="1"/>
        <v>0</v>
      </c>
      <c r="H15" s="46">
        <f t="shared" si="1"/>
        <v>0</v>
      </c>
      <c r="I15" s="125"/>
      <c r="J15" s="42"/>
      <c r="K15" s="43"/>
      <c r="L15" s="43"/>
    </row>
    <row r="16" spans="1:12" s="129" customFormat="1" ht="16.5" customHeight="1" x14ac:dyDescent="0.25">
      <c r="B16" s="9"/>
      <c r="C16" s="15"/>
      <c r="D16" s="15"/>
      <c r="E16" s="15"/>
      <c r="F16" s="15"/>
      <c r="G16" s="15"/>
      <c r="H16" s="37">
        <f t="shared" ref="H16:H18" si="2">SUM(C16:G16)</f>
        <v>0</v>
      </c>
      <c r="I16" s="125"/>
      <c r="J16" s="42"/>
      <c r="K16" s="43"/>
      <c r="L16" s="43"/>
    </row>
    <row r="17" spans="1:12" s="129" customFormat="1" ht="16.5" customHeight="1" x14ac:dyDescent="0.25">
      <c r="B17" s="45" t="s">
        <v>45</v>
      </c>
      <c r="C17" s="46">
        <f t="shared" ref="C17:H17" si="3">SUM(C18:C18)</f>
        <v>0</v>
      </c>
      <c r="D17" s="46">
        <f t="shared" si="3"/>
        <v>0</v>
      </c>
      <c r="E17" s="46">
        <f t="shared" si="3"/>
        <v>0</v>
      </c>
      <c r="F17" s="46">
        <f t="shared" si="3"/>
        <v>0</v>
      </c>
      <c r="G17" s="46">
        <f t="shared" si="3"/>
        <v>0</v>
      </c>
      <c r="H17" s="46">
        <f t="shared" si="3"/>
        <v>0</v>
      </c>
      <c r="I17" s="125"/>
      <c r="J17" s="42"/>
      <c r="K17" s="43"/>
      <c r="L17" s="43"/>
    </row>
    <row r="18" spans="1:12" s="129" customFormat="1" ht="16.5" customHeight="1" thickBot="1" x14ac:dyDescent="0.3">
      <c r="B18" s="51"/>
      <c r="C18" s="52"/>
      <c r="D18" s="52"/>
      <c r="E18" s="52"/>
      <c r="F18" s="52"/>
      <c r="G18" s="52"/>
      <c r="H18" s="54">
        <f t="shared" si="2"/>
        <v>0</v>
      </c>
      <c r="I18" s="126"/>
      <c r="J18" s="42"/>
      <c r="K18" s="43"/>
      <c r="L18" s="43"/>
    </row>
    <row r="19" spans="1:12" s="129" customFormat="1" ht="16.5" customHeight="1" x14ac:dyDescent="0.25">
      <c r="B19" s="58"/>
      <c r="C19" s="59"/>
      <c r="D19" s="59"/>
      <c r="E19" s="59"/>
      <c r="F19" s="59"/>
      <c r="G19" s="59"/>
      <c r="H19" s="59"/>
      <c r="I19" s="59"/>
      <c r="J19" s="42"/>
      <c r="K19" s="43"/>
      <c r="L19" s="43"/>
    </row>
    <row r="20" spans="1:12" s="129" customFormat="1" ht="16.5" customHeight="1" x14ac:dyDescent="0.25">
      <c r="B20" s="259" t="s">
        <v>59</v>
      </c>
      <c r="C20" s="260"/>
      <c r="D20" s="260"/>
      <c r="E20" s="260"/>
      <c r="F20" s="260"/>
      <c r="G20" s="260"/>
      <c r="H20" s="260"/>
      <c r="I20" s="260"/>
    </row>
    <row r="21" spans="1:12" s="129" customFormat="1" ht="16.5" customHeight="1" thickBot="1" x14ac:dyDescent="0.3"/>
    <row r="22" spans="1:12" s="129" customFormat="1" ht="66.75" customHeight="1" thickBot="1" x14ac:dyDescent="0.4">
      <c r="A22" s="79"/>
      <c r="B22" s="55" t="s">
        <v>38</v>
      </c>
      <c r="C22" s="18">
        <v>2022</v>
      </c>
      <c r="D22" s="18">
        <v>2023</v>
      </c>
      <c r="E22" s="18">
        <v>2024</v>
      </c>
      <c r="F22" s="18">
        <v>2025</v>
      </c>
      <c r="G22" s="18">
        <v>2026</v>
      </c>
      <c r="H22" s="44" t="s">
        <v>10</v>
      </c>
      <c r="I22" s="47" t="s">
        <v>36</v>
      </c>
      <c r="J22" s="40"/>
      <c r="K22" s="41"/>
      <c r="L22" s="41"/>
    </row>
    <row r="23" spans="1:12" s="129" customFormat="1" ht="16.5" customHeight="1" x14ac:dyDescent="0.25">
      <c r="B23" s="48" t="s">
        <v>6</v>
      </c>
      <c r="C23" s="49">
        <f t="shared" ref="C23:H23" si="4">SUM(C24+C27)</f>
        <v>141246</v>
      </c>
      <c r="D23" s="49">
        <f t="shared" si="4"/>
        <v>372500</v>
      </c>
      <c r="E23" s="49">
        <f t="shared" si="4"/>
        <v>0</v>
      </c>
      <c r="F23" s="49">
        <f t="shared" si="4"/>
        <v>0</v>
      </c>
      <c r="G23" s="49">
        <f t="shared" si="4"/>
        <v>0</v>
      </c>
      <c r="H23" s="65">
        <f t="shared" si="4"/>
        <v>513746</v>
      </c>
      <c r="I23" s="127"/>
      <c r="J23" s="42"/>
      <c r="K23" s="43"/>
      <c r="L23" s="43"/>
    </row>
    <row r="24" spans="1:12" s="129" customFormat="1" ht="16.5" customHeight="1" x14ac:dyDescent="0.25">
      <c r="B24" s="45" t="s">
        <v>44</v>
      </c>
      <c r="C24" s="46">
        <f t="shared" ref="C24:H24" si="5">SUM(C25:C26)</f>
        <v>0</v>
      </c>
      <c r="D24" s="46">
        <f t="shared" si="5"/>
        <v>0</v>
      </c>
      <c r="E24" s="46">
        <f t="shared" si="5"/>
        <v>0</v>
      </c>
      <c r="F24" s="46">
        <f t="shared" si="5"/>
        <v>0</v>
      </c>
      <c r="G24" s="46">
        <f t="shared" si="5"/>
        <v>0</v>
      </c>
      <c r="H24" s="46">
        <f t="shared" si="5"/>
        <v>0</v>
      </c>
      <c r="I24" s="125"/>
      <c r="J24" s="42"/>
      <c r="L24" s="43"/>
    </row>
    <row r="25" spans="1:12" s="129" customFormat="1" ht="16.5" customHeight="1" x14ac:dyDescent="0.25">
      <c r="B25" s="63" t="s">
        <v>37</v>
      </c>
      <c r="C25" s="64">
        <f>D53</f>
        <v>0</v>
      </c>
      <c r="D25" s="64">
        <f>G53</f>
        <v>0</v>
      </c>
      <c r="E25" s="64">
        <f>J53</f>
        <v>0</v>
      </c>
      <c r="F25" s="64">
        <f>M53</f>
        <v>0</v>
      </c>
      <c r="G25" s="46">
        <f>F25</f>
        <v>0</v>
      </c>
      <c r="H25" s="46">
        <f t="shared" ref="H25:H26" si="6">SUM(C25:G25)</f>
        <v>0</v>
      </c>
      <c r="I25" s="125"/>
      <c r="J25" s="42"/>
      <c r="L25" s="43"/>
    </row>
    <row r="26" spans="1:12" s="129" customFormat="1" ht="16.5" customHeight="1" x14ac:dyDescent="0.25">
      <c r="B26" s="9"/>
      <c r="C26" s="15"/>
      <c r="D26" s="15"/>
      <c r="E26" s="15"/>
      <c r="F26" s="15"/>
      <c r="G26" s="15"/>
      <c r="H26" s="15">
        <f t="shared" si="6"/>
        <v>0</v>
      </c>
      <c r="I26" s="125"/>
      <c r="J26" s="42"/>
      <c r="K26" s="43"/>
      <c r="L26" s="43"/>
    </row>
    <row r="27" spans="1:12" s="129" customFormat="1" ht="16.5" customHeight="1" x14ac:dyDescent="0.25">
      <c r="B27" s="45" t="s">
        <v>45</v>
      </c>
      <c r="C27" s="46">
        <f t="shared" ref="C27:H27" si="7">SUM(C28:C30)</f>
        <v>141246</v>
      </c>
      <c r="D27" s="46">
        <f t="shared" si="7"/>
        <v>372500</v>
      </c>
      <c r="E27" s="46">
        <f t="shared" si="7"/>
        <v>0</v>
      </c>
      <c r="F27" s="46">
        <f t="shared" si="7"/>
        <v>0</v>
      </c>
      <c r="G27" s="46">
        <f t="shared" si="7"/>
        <v>0</v>
      </c>
      <c r="H27" s="46">
        <f t="shared" si="7"/>
        <v>513746</v>
      </c>
      <c r="I27" s="125"/>
      <c r="J27" s="42"/>
      <c r="K27" s="43"/>
      <c r="L27" s="43"/>
    </row>
    <row r="28" spans="1:12" s="129" customFormat="1" ht="16.5" customHeight="1" x14ac:dyDescent="0.25">
      <c r="B28" s="63" t="s">
        <v>55</v>
      </c>
      <c r="C28" s="64">
        <f>D55</f>
        <v>141246</v>
      </c>
      <c r="D28" s="64">
        <f>G55</f>
        <v>372500</v>
      </c>
      <c r="E28" s="64">
        <f>J55</f>
        <v>398700</v>
      </c>
      <c r="F28" s="64">
        <f>M55</f>
        <v>426800</v>
      </c>
      <c r="G28" s="46">
        <f>F28</f>
        <v>426800</v>
      </c>
      <c r="H28" s="15">
        <f t="shared" ref="H28:H30" si="8">SUM(C28:G28)</f>
        <v>1766046</v>
      </c>
      <c r="I28" s="125"/>
      <c r="J28" s="42"/>
      <c r="K28" s="43"/>
      <c r="L28" s="43"/>
    </row>
    <row r="29" spans="1:12" s="129" customFormat="1" ht="16.5" customHeight="1" x14ac:dyDescent="0.25">
      <c r="B29" s="63" t="s">
        <v>56</v>
      </c>
      <c r="C29" s="64">
        <f>D62</f>
        <v>0</v>
      </c>
      <c r="D29" s="64">
        <f>G62</f>
        <v>0</v>
      </c>
      <c r="E29" s="64">
        <f>J62</f>
        <v>-398700</v>
      </c>
      <c r="F29" s="64">
        <f>M62</f>
        <v>-426800</v>
      </c>
      <c r="G29" s="46">
        <f>F29</f>
        <v>-426800</v>
      </c>
      <c r="H29" s="15">
        <f>SUM(C29:G29)</f>
        <v>-1252300</v>
      </c>
      <c r="I29" s="125"/>
      <c r="J29" s="42"/>
      <c r="K29" s="43"/>
      <c r="L29" s="43"/>
    </row>
    <row r="30" spans="1:12" s="129" customFormat="1" ht="16.5" customHeight="1" thickBot="1" x14ac:dyDescent="0.3">
      <c r="B30" s="51"/>
      <c r="C30" s="52"/>
      <c r="D30" s="52"/>
      <c r="E30" s="52"/>
      <c r="F30" s="52"/>
      <c r="G30" s="52"/>
      <c r="H30" s="52">
        <f t="shared" si="8"/>
        <v>0</v>
      </c>
      <c r="I30" s="126"/>
      <c r="J30" s="42"/>
      <c r="K30" s="43"/>
      <c r="L30" s="43"/>
    </row>
    <row r="31" spans="1:12" ht="16.5" customHeight="1" x14ac:dyDescent="0.25">
      <c r="J31" s="5"/>
    </row>
    <row r="32" spans="1:12" s="129" customFormat="1" ht="45" x14ac:dyDescent="0.35">
      <c r="A32" s="80"/>
      <c r="B32" s="69" t="s">
        <v>11</v>
      </c>
      <c r="C32" s="70" t="s">
        <v>15</v>
      </c>
      <c r="D32" s="68" t="s">
        <v>16</v>
      </c>
      <c r="E32" s="68" t="s">
        <v>60</v>
      </c>
      <c r="F32" s="68" t="s">
        <v>19</v>
      </c>
    </row>
    <row r="33" spans="1:10" s="129" customFormat="1" ht="135" x14ac:dyDescent="0.25">
      <c r="B33" s="171" t="s">
        <v>226</v>
      </c>
      <c r="C33" s="170" t="s">
        <v>227</v>
      </c>
      <c r="D33" s="170" t="s">
        <v>228</v>
      </c>
      <c r="E33" s="171" t="s">
        <v>229</v>
      </c>
      <c r="F33" s="171" t="s">
        <v>230</v>
      </c>
    </row>
    <row r="34" spans="1:10" s="129" customFormat="1" ht="120" x14ac:dyDescent="0.25">
      <c r="B34" s="8" t="s">
        <v>231</v>
      </c>
      <c r="C34" s="172" t="s">
        <v>232</v>
      </c>
      <c r="D34" s="172" t="s">
        <v>233</v>
      </c>
      <c r="E34" s="172" t="s">
        <v>180</v>
      </c>
      <c r="F34" s="171" t="s">
        <v>230</v>
      </c>
    </row>
    <row r="35" spans="1:10" s="129" customFormat="1" ht="165" x14ac:dyDescent="0.25">
      <c r="B35" s="177" t="s">
        <v>234</v>
      </c>
      <c r="C35" s="172" t="s">
        <v>235</v>
      </c>
      <c r="D35" s="170" t="s">
        <v>236</v>
      </c>
      <c r="E35" s="172" t="s">
        <v>237</v>
      </c>
      <c r="F35" s="171" t="s">
        <v>230</v>
      </c>
    </row>
    <row r="36" spans="1:10" s="129" customFormat="1" x14ac:dyDescent="0.25">
      <c r="B36" s="8" t="s">
        <v>1</v>
      </c>
      <c r="C36" s="10"/>
      <c r="D36" s="10"/>
      <c r="E36" s="10"/>
      <c r="F36" s="10"/>
    </row>
    <row r="37" spans="1:10" s="129" customFormat="1" ht="46.5" customHeight="1" x14ac:dyDescent="0.25">
      <c r="B37" s="261" t="s">
        <v>57</v>
      </c>
      <c r="C37" s="262"/>
      <c r="D37" s="262"/>
      <c r="E37" s="262"/>
      <c r="F37" s="262"/>
      <c r="G37" s="68" t="s">
        <v>15</v>
      </c>
      <c r="H37" s="68" t="s">
        <v>16</v>
      </c>
      <c r="I37" s="68" t="s">
        <v>60</v>
      </c>
      <c r="J37" s="68" t="s">
        <v>19</v>
      </c>
    </row>
    <row r="38" spans="1:10" s="129" customFormat="1" x14ac:dyDescent="0.25">
      <c r="B38" s="11" t="s">
        <v>26</v>
      </c>
      <c r="C38" s="19"/>
      <c r="D38" s="19"/>
      <c r="E38" s="19"/>
      <c r="F38" s="20"/>
      <c r="G38" s="10"/>
      <c r="H38" s="10"/>
      <c r="I38" s="10"/>
      <c r="J38" s="10"/>
    </row>
    <row r="39" spans="1:10" s="129" customFormat="1" x14ac:dyDescent="0.25">
      <c r="B39" s="11" t="s">
        <v>20</v>
      </c>
      <c r="C39" s="19"/>
      <c r="D39" s="19"/>
      <c r="E39" s="19"/>
      <c r="F39" s="20"/>
      <c r="G39" s="10"/>
      <c r="H39" s="10"/>
      <c r="I39" s="10"/>
      <c r="J39" s="10"/>
    </row>
    <row r="40" spans="1:10" s="129" customFormat="1" x14ac:dyDescent="0.25">
      <c r="B40" s="11" t="s">
        <v>27</v>
      </c>
      <c r="C40" s="19"/>
      <c r="D40" s="19"/>
      <c r="E40" s="19"/>
      <c r="F40" s="20"/>
      <c r="G40" s="10"/>
      <c r="H40" s="10"/>
      <c r="I40" s="10"/>
      <c r="J40" s="10"/>
    </row>
    <row r="41" spans="1:10" s="129" customFormat="1" x14ac:dyDescent="0.25">
      <c r="B41" s="11" t="s">
        <v>21</v>
      </c>
      <c r="C41" s="19"/>
      <c r="D41" s="19"/>
      <c r="E41" s="19"/>
      <c r="F41" s="20"/>
      <c r="G41" s="10"/>
      <c r="H41" s="10"/>
      <c r="I41" s="10"/>
      <c r="J41" s="10"/>
    </row>
    <row r="42" spans="1:10" s="129" customFormat="1" x14ac:dyDescent="0.25">
      <c r="B42" s="11" t="s">
        <v>22</v>
      </c>
      <c r="C42" s="19"/>
      <c r="D42" s="19"/>
      <c r="E42" s="19"/>
      <c r="F42" s="20"/>
      <c r="G42" s="10"/>
      <c r="H42" s="10"/>
      <c r="I42" s="10"/>
      <c r="J42" s="10"/>
    </row>
    <row r="43" spans="1:10" s="129" customFormat="1" x14ac:dyDescent="0.25">
      <c r="B43" s="11" t="s">
        <v>23</v>
      </c>
      <c r="C43" s="21"/>
      <c r="D43" s="21"/>
      <c r="E43" s="21"/>
      <c r="F43" s="22"/>
      <c r="G43" s="10"/>
      <c r="H43" s="10"/>
      <c r="I43" s="10"/>
      <c r="J43" s="10"/>
    </row>
    <row r="44" spans="1:10" s="129" customFormat="1" x14ac:dyDescent="0.25">
      <c r="B44" s="11" t="s">
        <v>24</v>
      </c>
      <c r="C44" s="19"/>
      <c r="D44" s="19"/>
      <c r="E44" s="19"/>
      <c r="F44" s="20"/>
      <c r="G44" s="10"/>
      <c r="H44" s="10"/>
      <c r="I44" s="10"/>
      <c r="J44" s="10"/>
    </row>
    <row r="45" spans="1:10" s="129" customFormat="1" x14ac:dyDescent="0.25">
      <c r="B45" s="11" t="s">
        <v>25</v>
      </c>
      <c r="C45" s="19"/>
      <c r="D45" s="19"/>
      <c r="E45" s="19"/>
      <c r="F45" s="20"/>
      <c r="G45" s="10"/>
      <c r="H45" s="10"/>
      <c r="I45" s="10"/>
      <c r="J45" s="10"/>
    </row>
    <row r="46" spans="1:10" s="129" customFormat="1" x14ac:dyDescent="0.25">
      <c r="B46" s="11" t="s">
        <v>1</v>
      </c>
      <c r="C46" s="19"/>
      <c r="D46" s="19"/>
      <c r="E46" s="19"/>
      <c r="F46" s="20"/>
      <c r="G46" s="10"/>
      <c r="H46" s="10"/>
      <c r="I46" s="10"/>
      <c r="J46" s="10"/>
    </row>
    <row r="47" spans="1:10" s="129" customFormat="1" x14ac:dyDescent="0.25"/>
    <row r="48" spans="1:10" s="7" customFormat="1" ht="21" x14ac:dyDescent="0.25">
      <c r="A48" s="23" t="s">
        <v>14</v>
      </c>
      <c r="F48" s="1"/>
    </row>
    <row r="49" spans="1:15" s="129" customFormat="1" ht="19.5" thickBot="1" x14ac:dyDescent="0.35">
      <c r="A49" s="6"/>
    </row>
    <row r="50" spans="1:15" ht="14.25" customHeight="1" x14ac:dyDescent="0.25">
      <c r="A50" s="23"/>
      <c r="C50" s="263">
        <v>2022</v>
      </c>
      <c r="D50" s="264"/>
      <c r="E50" s="265"/>
      <c r="F50" s="263">
        <v>2023</v>
      </c>
      <c r="G50" s="264"/>
      <c r="H50" s="265"/>
      <c r="I50" s="263">
        <v>2024</v>
      </c>
      <c r="J50" s="264"/>
      <c r="K50" s="265"/>
      <c r="L50" s="263">
        <v>2025</v>
      </c>
      <c r="M50" s="264"/>
      <c r="N50" s="265"/>
    </row>
    <row r="51" spans="1:15" ht="21" x14ac:dyDescent="0.35">
      <c r="A51" s="79"/>
      <c r="B51" s="24" t="s">
        <v>28</v>
      </c>
      <c r="C51" s="71" t="s">
        <v>12</v>
      </c>
      <c r="D51" s="14" t="s">
        <v>31</v>
      </c>
      <c r="E51" s="72" t="s">
        <v>30</v>
      </c>
      <c r="F51" s="71" t="s">
        <v>12</v>
      </c>
      <c r="G51" s="14" t="s">
        <v>31</v>
      </c>
      <c r="H51" s="72" t="s">
        <v>30</v>
      </c>
      <c r="I51" s="71" t="s">
        <v>12</v>
      </c>
      <c r="J51" s="14" t="s">
        <v>31</v>
      </c>
      <c r="K51" s="72" t="s">
        <v>30</v>
      </c>
      <c r="L51" s="71" t="s">
        <v>12</v>
      </c>
      <c r="M51" s="14" t="s">
        <v>31</v>
      </c>
      <c r="N51" s="72" t="s">
        <v>30</v>
      </c>
    </row>
    <row r="52" spans="1:15" ht="21" x14ac:dyDescent="0.35">
      <c r="A52" s="79"/>
      <c r="B52" s="24" t="s">
        <v>6</v>
      </c>
      <c r="C52" s="28" t="s">
        <v>13</v>
      </c>
      <c r="D52" s="61">
        <f>SUM(D53+D55+D62)</f>
        <v>141246</v>
      </c>
      <c r="E52" s="29" t="s">
        <v>13</v>
      </c>
      <c r="F52" s="28" t="s">
        <v>13</v>
      </c>
      <c r="G52" s="61">
        <f>SUM(G53+G55+G62)</f>
        <v>372500</v>
      </c>
      <c r="H52" s="29" t="s">
        <v>13</v>
      </c>
      <c r="I52" s="28" t="s">
        <v>13</v>
      </c>
      <c r="J52" s="61">
        <f>SUM(J53+J55+J62)</f>
        <v>0</v>
      </c>
      <c r="K52" s="29" t="s">
        <v>13</v>
      </c>
      <c r="L52" s="28" t="s">
        <v>13</v>
      </c>
      <c r="M52" s="61">
        <f>SUM(M53+M55+M62)</f>
        <v>0</v>
      </c>
      <c r="N52" s="29" t="s">
        <v>13</v>
      </c>
      <c r="O52" s="78"/>
    </row>
    <row r="53" spans="1:15" s="60" customFormat="1" x14ac:dyDescent="0.25">
      <c r="B53" s="24" t="s">
        <v>29</v>
      </c>
      <c r="C53" s="26"/>
      <c r="D53" s="34">
        <f>SUM(D54:D54)</f>
        <v>0</v>
      </c>
      <c r="E53" s="27"/>
      <c r="F53" s="26"/>
      <c r="G53" s="34"/>
      <c r="H53" s="27"/>
      <c r="I53" s="26"/>
      <c r="J53" s="34">
        <f>SUM(J54:J54)</f>
        <v>0</v>
      </c>
      <c r="K53" s="27"/>
      <c r="L53" s="26"/>
      <c r="M53" s="34">
        <f>SUM(M54:M54)</f>
        <v>0</v>
      </c>
      <c r="N53" s="27"/>
    </row>
    <row r="54" spans="1:15" x14ac:dyDescent="0.25">
      <c r="B54" s="25"/>
      <c r="C54" s="30" t="s">
        <v>139</v>
      </c>
      <c r="D54" s="202">
        <v>0</v>
      </c>
      <c r="E54" s="31"/>
      <c r="F54" s="30"/>
      <c r="G54" s="204"/>
      <c r="H54" s="31"/>
      <c r="I54" s="30"/>
      <c r="J54" s="2"/>
      <c r="K54" s="31"/>
      <c r="L54" s="30"/>
      <c r="M54" s="2"/>
      <c r="N54" s="31"/>
    </row>
    <row r="55" spans="1:15" s="60" customFormat="1" x14ac:dyDescent="0.25">
      <c r="B55" s="24" t="s">
        <v>43</v>
      </c>
      <c r="C55" s="26"/>
      <c r="D55" s="34">
        <f>SUM(D56:D61)</f>
        <v>141246</v>
      </c>
      <c r="E55" s="27"/>
      <c r="F55" s="26"/>
      <c r="G55" s="34">
        <f>SUM(G56:G61)</f>
        <v>372500</v>
      </c>
      <c r="H55" s="27"/>
      <c r="I55" s="26"/>
      <c r="J55" s="34">
        <f>SUM(J56:J61)</f>
        <v>398700</v>
      </c>
      <c r="K55" s="27"/>
      <c r="L55" s="26"/>
      <c r="M55" s="34">
        <f>SUM(M56:M61)</f>
        <v>426800</v>
      </c>
      <c r="N55" s="27"/>
    </row>
    <row r="56" spans="1:15" x14ac:dyDescent="0.25">
      <c r="B56" s="25"/>
      <c r="C56" s="121" t="s">
        <v>64</v>
      </c>
      <c r="D56" s="202">
        <f>55700/2</f>
        <v>27850</v>
      </c>
      <c r="E56" s="31" t="s">
        <v>144</v>
      </c>
      <c r="F56" s="121" t="s">
        <v>64</v>
      </c>
      <c r="G56" s="204">
        <v>59600</v>
      </c>
      <c r="H56" s="31" t="s">
        <v>144</v>
      </c>
      <c r="I56" s="121" t="s">
        <v>64</v>
      </c>
      <c r="J56" s="204">
        <f t="shared" ref="J56:J61" si="9">ROUND(G56*1.07/100,0)*100</f>
        <v>63800</v>
      </c>
      <c r="K56" s="231" t="s">
        <v>144</v>
      </c>
      <c r="L56" s="232" t="s">
        <v>64</v>
      </c>
      <c r="M56" s="204">
        <f t="shared" ref="M56:M61" si="10">ROUND(J56*1.07/100,0)*100</f>
        <v>68300</v>
      </c>
      <c r="N56" s="31" t="s">
        <v>144</v>
      </c>
    </row>
    <row r="57" spans="1:15" x14ac:dyDescent="0.25">
      <c r="B57" s="25"/>
      <c r="C57" s="121" t="s">
        <v>64</v>
      </c>
      <c r="D57" s="202">
        <f>69600/2</f>
        <v>34800</v>
      </c>
      <c r="E57" s="31" t="s">
        <v>145</v>
      </c>
      <c r="F57" s="121" t="s">
        <v>64</v>
      </c>
      <c r="G57" s="204">
        <v>74500</v>
      </c>
      <c r="H57" s="31" t="s">
        <v>145</v>
      </c>
      <c r="I57" s="121" t="s">
        <v>64</v>
      </c>
      <c r="J57" s="204">
        <f t="shared" si="9"/>
        <v>79700</v>
      </c>
      <c r="K57" s="231" t="s">
        <v>145</v>
      </c>
      <c r="L57" s="232" t="s">
        <v>64</v>
      </c>
      <c r="M57" s="204">
        <f t="shared" si="10"/>
        <v>85300</v>
      </c>
      <c r="N57" s="31" t="s">
        <v>145</v>
      </c>
    </row>
    <row r="58" spans="1:15" x14ac:dyDescent="0.25">
      <c r="B58" s="25"/>
      <c r="C58" s="121" t="s">
        <v>64</v>
      </c>
      <c r="D58" s="202">
        <f t="shared" ref="D58:D59" si="11">55700/2</f>
        <v>27850</v>
      </c>
      <c r="E58" s="31" t="s">
        <v>146</v>
      </c>
      <c r="F58" s="121" t="s">
        <v>64</v>
      </c>
      <c r="G58" s="204">
        <v>59600</v>
      </c>
      <c r="H58" s="31" t="s">
        <v>146</v>
      </c>
      <c r="I58" s="121" t="s">
        <v>64</v>
      </c>
      <c r="J58" s="204">
        <f t="shared" si="9"/>
        <v>63800</v>
      </c>
      <c r="K58" s="231" t="s">
        <v>146</v>
      </c>
      <c r="L58" s="232" t="s">
        <v>64</v>
      </c>
      <c r="M58" s="204">
        <f t="shared" si="10"/>
        <v>68300</v>
      </c>
      <c r="N58" s="31" t="s">
        <v>146</v>
      </c>
    </row>
    <row r="59" spans="1:15" x14ac:dyDescent="0.25">
      <c r="B59" s="25"/>
      <c r="C59" s="121" t="s">
        <v>64</v>
      </c>
      <c r="D59" s="202">
        <f t="shared" si="11"/>
        <v>27850</v>
      </c>
      <c r="E59" s="31" t="s">
        <v>144</v>
      </c>
      <c r="F59" s="121" t="s">
        <v>64</v>
      </c>
      <c r="G59" s="204">
        <v>59600</v>
      </c>
      <c r="H59" s="31" t="s">
        <v>144</v>
      </c>
      <c r="I59" s="121" t="s">
        <v>64</v>
      </c>
      <c r="J59" s="204">
        <f t="shared" si="9"/>
        <v>63800</v>
      </c>
      <c r="K59" s="231" t="s">
        <v>144</v>
      </c>
      <c r="L59" s="232" t="s">
        <v>64</v>
      </c>
      <c r="M59" s="204">
        <f t="shared" si="10"/>
        <v>68300</v>
      </c>
      <c r="N59" s="31" t="s">
        <v>144</v>
      </c>
    </row>
    <row r="60" spans="1:15" x14ac:dyDescent="0.25">
      <c r="B60" s="25"/>
      <c r="C60" s="121" t="s">
        <v>64</v>
      </c>
      <c r="D60" s="202">
        <f>55700/2-4954</f>
        <v>22896</v>
      </c>
      <c r="E60" s="31" t="s">
        <v>144</v>
      </c>
      <c r="F60" s="121" t="s">
        <v>64</v>
      </c>
      <c r="G60" s="204">
        <v>59600</v>
      </c>
      <c r="H60" s="31" t="s">
        <v>144</v>
      </c>
      <c r="I60" s="121" t="s">
        <v>64</v>
      </c>
      <c r="J60" s="204">
        <f t="shared" si="9"/>
        <v>63800</v>
      </c>
      <c r="K60" s="231" t="s">
        <v>144</v>
      </c>
      <c r="L60" s="232" t="s">
        <v>64</v>
      </c>
      <c r="M60" s="204">
        <f t="shared" si="10"/>
        <v>68300</v>
      </c>
      <c r="N60" s="31" t="s">
        <v>144</v>
      </c>
    </row>
    <row r="61" spans="1:15" x14ac:dyDescent="0.25">
      <c r="B61" s="25"/>
      <c r="C61" s="121" t="s">
        <v>64</v>
      </c>
      <c r="D61" s="202"/>
      <c r="E61" s="31" t="s">
        <v>144</v>
      </c>
      <c r="F61" s="121" t="s">
        <v>64</v>
      </c>
      <c r="G61" s="204">
        <v>59600</v>
      </c>
      <c r="H61" s="31" t="s">
        <v>144</v>
      </c>
      <c r="I61" s="121" t="s">
        <v>64</v>
      </c>
      <c r="J61" s="204">
        <f t="shared" si="9"/>
        <v>63800</v>
      </c>
      <c r="K61" s="231" t="s">
        <v>144</v>
      </c>
      <c r="L61" s="232" t="s">
        <v>64</v>
      </c>
      <c r="M61" s="204">
        <f t="shared" si="10"/>
        <v>68300</v>
      </c>
      <c r="N61" s="31" t="s">
        <v>144</v>
      </c>
    </row>
    <row r="62" spans="1:15" s="60" customFormat="1" x14ac:dyDescent="0.25">
      <c r="B62" s="24" t="s">
        <v>54</v>
      </c>
      <c r="C62" s="26"/>
      <c r="D62" s="34">
        <f>SUM(D63:D64)</f>
        <v>0</v>
      </c>
      <c r="E62" s="27"/>
      <c r="F62" s="26"/>
      <c r="G62" s="34">
        <f>SUM(G63:G64)</f>
        <v>0</v>
      </c>
      <c r="H62" s="27"/>
      <c r="I62" s="26"/>
      <c r="J62" s="34">
        <f>SUM(J63:J64)</f>
        <v>-398700</v>
      </c>
      <c r="K62" s="27"/>
      <c r="L62" s="26"/>
      <c r="M62" s="34">
        <f>SUM(M63:M64)</f>
        <v>-426800</v>
      </c>
      <c r="N62" s="27"/>
    </row>
    <row r="63" spans="1:15" s="130" customFormat="1" x14ac:dyDescent="0.25">
      <c r="B63" s="131"/>
      <c r="C63" s="132" t="s">
        <v>140</v>
      </c>
      <c r="D63" s="203">
        <v>0</v>
      </c>
      <c r="E63" s="134"/>
      <c r="F63" s="132"/>
      <c r="G63" s="205"/>
      <c r="H63" s="134"/>
      <c r="I63" s="132"/>
      <c r="J63" s="133">
        <v>0</v>
      </c>
      <c r="K63" s="134"/>
      <c r="L63" s="132"/>
      <c r="M63" s="133">
        <v>0</v>
      </c>
      <c r="N63" s="134"/>
    </row>
    <row r="64" spans="1:15" ht="15.75" thickBot="1" x14ac:dyDescent="0.3">
      <c r="B64" s="25"/>
      <c r="C64" s="32" t="s">
        <v>141</v>
      </c>
      <c r="D64" s="35">
        <v>0</v>
      </c>
      <c r="E64" s="33"/>
      <c r="F64" s="32" t="s">
        <v>141</v>
      </c>
      <c r="G64" s="35">
        <v>0</v>
      </c>
      <c r="H64" s="33"/>
      <c r="I64" s="32" t="s">
        <v>141</v>
      </c>
      <c r="J64" s="35">
        <f>-J55</f>
        <v>-398700</v>
      </c>
      <c r="K64" s="33" t="s">
        <v>143</v>
      </c>
      <c r="L64" s="32" t="s">
        <v>141</v>
      </c>
      <c r="M64" s="35">
        <f>-M55</f>
        <v>-426800</v>
      </c>
      <c r="N64" s="33" t="s">
        <v>142</v>
      </c>
    </row>
    <row r="65" spans="1:6" s="129" customFormat="1" x14ac:dyDescent="0.25"/>
    <row r="66" spans="1:6" s="129" customFormat="1" ht="21" x14ac:dyDescent="0.25">
      <c r="A66" s="23" t="s">
        <v>32</v>
      </c>
    </row>
    <row r="67" spans="1:6" s="129" customFormat="1" ht="18.75" x14ac:dyDescent="0.3">
      <c r="A67" s="6"/>
      <c r="B67"/>
      <c r="C67"/>
      <c r="D67"/>
      <c r="E67"/>
    </row>
    <row r="68" spans="1:6" s="7" customFormat="1" ht="75" x14ac:dyDescent="0.35">
      <c r="A68" s="80"/>
      <c r="B68" s="68" t="s">
        <v>33</v>
      </c>
      <c r="C68" s="68" t="s">
        <v>34</v>
      </c>
      <c r="D68" s="68" t="s">
        <v>63</v>
      </c>
      <c r="E68" s="68" t="s">
        <v>35</v>
      </c>
      <c r="F68" s="68" t="s">
        <v>61</v>
      </c>
    </row>
    <row r="69" spans="1:6" s="129" customFormat="1" ht="75" x14ac:dyDescent="0.25">
      <c r="B69" s="85" t="s">
        <v>131</v>
      </c>
      <c r="C69" s="85" t="s">
        <v>132</v>
      </c>
      <c r="D69" s="85" t="s">
        <v>134</v>
      </c>
      <c r="E69" s="85" t="s">
        <v>137</v>
      </c>
      <c r="F69" s="85" t="s">
        <v>133</v>
      </c>
    </row>
    <row r="70" spans="1:6" s="129" customFormat="1" x14ac:dyDescent="0.25">
      <c r="B70" s="85"/>
      <c r="C70" s="85"/>
      <c r="D70" s="85"/>
      <c r="E70" s="85"/>
      <c r="F70" s="85"/>
    </row>
    <row r="71" spans="1:6" s="129" customFormat="1" x14ac:dyDescent="0.25">
      <c r="B71" s="85"/>
      <c r="C71" s="85"/>
      <c r="D71" s="85"/>
      <c r="E71" s="85"/>
      <c r="F71" s="85"/>
    </row>
    <row r="72" spans="1:6" s="129" customFormat="1" x14ac:dyDescent="0.25"/>
    <row r="73" spans="1:6" s="129" customFormat="1" x14ac:dyDescent="0.25"/>
    <row r="74" spans="1:6" s="129" customFormat="1" x14ac:dyDescent="0.25"/>
    <row r="75" spans="1:6" s="129" customFormat="1" x14ac:dyDescent="0.25"/>
    <row r="76" spans="1:6" s="129" customFormat="1" x14ac:dyDescent="0.25"/>
    <row r="77" spans="1:6" s="129" customFormat="1" x14ac:dyDescent="0.25"/>
    <row r="78" spans="1:6" s="129" customFormat="1" x14ac:dyDescent="0.25"/>
    <row r="79" spans="1:6" s="129" customFormat="1" x14ac:dyDescent="0.25"/>
    <row r="80" spans="1:6" s="129" customFormat="1" x14ac:dyDescent="0.25"/>
    <row r="81" s="129" customFormat="1" x14ac:dyDescent="0.25"/>
    <row r="82" s="129" customFormat="1" x14ac:dyDescent="0.25"/>
    <row r="83" s="129" customFormat="1" x14ac:dyDescent="0.25"/>
    <row r="84" s="129" customFormat="1" x14ac:dyDescent="0.25"/>
    <row r="85" s="129" customFormat="1" x14ac:dyDescent="0.25"/>
    <row r="86" s="129" customFormat="1" x14ac:dyDescent="0.25"/>
    <row r="87" s="129" customFormat="1" x14ac:dyDescent="0.25"/>
    <row r="88" s="129" customFormat="1" x14ac:dyDescent="0.25"/>
    <row r="89" s="129" customFormat="1" x14ac:dyDescent="0.25"/>
    <row r="90" s="129" customFormat="1" x14ac:dyDescent="0.25"/>
    <row r="91" s="129" customFormat="1" x14ac:dyDescent="0.25"/>
    <row r="92" s="129" customFormat="1" x14ac:dyDescent="0.25"/>
    <row r="93" s="129" customFormat="1" x14ac:dyDescent="0.25"/>
    <row r="94" s="129" customFormat="1" x14ac:dyDescent="0.25"/>
    <row r="95" s="129" customFormat="1" x14ac:dyDescent="0.25"/>
    <row r="96" s="129" customFormat="1" x14ac:dyDescent="0.25"/>
    <row r="97" s="129" customFormat="1" x14ac:dyDescent="0.25"/>
    <row r="98" s="129" customFormat="1" x14ac:dyDescent="0.25"/>
    <row r="99" s="129" customFormat="1" x14ac:dyDescent="0.25"/>
    <row r="100" s="129" customFormat="1" x14ac:dyDescent="0.25"/>
    <row r="101" s="129" customFormat="1" x14ac:dyDescent="0.25"/>
    <row r="102" s="129" customFormat="1" x14ac:dyDescent="0.25"/>
    <row r="103" s="129" customFormat="1" x14ac:dyDescent="0.25"/>
    <row r="104" s="129" customFormat="1" x14ac:dyDescent="0.25"/>
    <row r="105" s="129" customFormat="1" x14ac:dyDescent="0.25"/>
    <row r="106" s="129" customFormat="1" x14ac:dyDescent="0.25"/>
    <row r="107" s="129" customFormat="1" x14ac:dyDescent="0.25"/>
    <row r="108" s="129" customFormat="1" x14ac:dyDescent="0.25"/>
    <row r="109" s="129" customFormat="1" x14ac:dyDescent="0.25"/>
    <row r="110" s="129" customFormat="1" x14ac:dyDescent="0.25"/>
    <row r="111" s="129" customFormat="1" x14ac:dyDescent="0.25"/>
    <row r="112" s="129" customFormat="1" x14ac:dyDescent="0.25"/>
    <row r="113" s="129" customFormat="1" x14ac:dyDescent="0.25"/>
    <row r="114" s="129" customFormat="1" x14ac:dyDescent="0.25"/>
    <row r="115" s="129" customFormat="1" x14ac:dyDescent="0.25"/>
    <row r="116" s="129" customFormat="1" x14ac:dyDescent="0.25"/>
    <row r="117" s="129" customFormat="1" x14ac:dyDescent="0.25"/>
    <row r="118" s="129" customFormat="1" x14ac:dyDescent="0.25"/>
    <row r="119" s="129" customFormat="1" x14ac:dyDescent="0.25"/>
    <row r="120" s="129" customFormat="1" x14ac:dyDescent="0.25"/>
    <row r="121" s="129" customFormat="1" x14ac:dyDescent="0.25"/>
    <row r="122" s="129" customFormat="1" x14ac:dyDescent="0.25"/>
    <row r="123" s="129" customFormat="1" x14ac:dyDescent="0.25"/>
    <row r="124" s="129" customFormat="1" x14ac:dyDescent="0.25"/>
    <row r="125" s="129" customFormat="1" x14ac:dyDescent="0.25"/>
    <row r="126" s="129" customFormat="1" x14ac:dyDescent="0.25"/>
    <row r="127" s="129" customFormat="1" x14ac:dyDescent="0.25"/>
    <row r="128" s="129" customFormat="1" x14ac:dyDescent="0.25"/>
    <row r="129" s="129" customFormat="1" x14ac:dyDescent="0.25"/>
    <row r="130" s="129" customFormat="1" x14ac:dyDescent="0.25"/>
    <row r="131" s="129" customFormat="1" x14ac:dyDescent="0.25"/>
    <row r="132" s="129" customFormat="1" x14ac:dyDescent="0.25"/>
    <row r="133" s="129" customFormat="1" x14ac:dyDescent="0.25"/>
    <row r="134" s="129" customFormat="1" x14ac:dyDescent="0.25"/>
    <row r="135" s="129" customFormat="1" x14ac:dyDescent="0.25"/>
    <row r="136" s="129" customFormat="1" x14ac:dyDescent="0.25"/>
    <row r="137" s="129" customFormat="1" x14ac:dyDescent="0.25"/>
    <row r="138" s="129" customFormat="1" x14ac:dyDescent="0.25"/>
    <row r="139" s="129" customFormat="1" x14ac:dyDescent="0.25"/>
    <row r="140" s="129" customFormat="1" x14ac:dyDescent="0.25"/>
    <row r="141" s="129" customFormat="1" x14ac:dyDescent="0.25"/>
    <row r="142" s="129" customFormat="1" x14ac:dyDescent="0.25"/>
    <row r="143" s="129" customFormat="1" x14ac:dyDescent="0.25"/>
    <row r="144" s="129" customFormat="1" x14ac:dyDescent="0.25"/>
    <row r="145" s="129" customFormat="1" x14ac:dyDescent="0.25"/>
    <row r="146" s="129" customFormat="1" x14ac:dyDescent="0.25"/>
    <row r="147" s="129" customFormat="1" x14ac:dyDescent="0.25"/>
    <row r="148" s="129" customFormat="1" x14ac:dyDescent="0.25"/>
    <row r="149" s="129" customFormat="1" x14ac:dyDescent="0.25"/>
    <row r="150" s="129" customFormat="1" x14ac:dyDescent="0.25"/>
    <row r="151" s="129" customFormat="1" x14ac:dyDescent="0.25"/>
    <row r="152" s="129" customFormat="1" x14ac:dyDescent="0.25"/>
    <row r="153" s="129" customFormat="1" x14ac:dyDescent="0.25"/>
    <row r="154" s="129" customFormat="1" x14ac:dyDescent="0.25"/>
    <row r="155" s="129" customFormat="1" x14ac:dyDescent="0.25"/>
    <row r="156" s="129" customFormat="1" x14ac:dyDescent="0.25"/>
    <row r="157" s="129" customFormat="1" x14ac:dyDescent="0.25"/>
    <row r="158" s="129" customFormat="1" x14ac:dyDescent="0.25"/>
    <row r="159" s="129" customFormat="1" x14ac:dyDescent="0.25"/>
    <row r="160" s="129" customFormat="1" x14ac:dyDescent="0.25"/>
    <row r="161" s="129" customFormat="1" x14ac:dyDescent="0.25"/>
    <row r="162" s="129" customFormat="1" x14ac:dyDescent="0.25"/>
    <row r="163" s="129" customFormat="1" x14ac:dyDescent="0.25"/>
    <row r="164" s="129" customFormat="1" x14ac:dyDescent="0.25"/>
    <row r="165" s="129" customFormat="1" x14ac:dyDescent="0.25"/>
    <row r="166" s="129" customFormat="1" x14ac:dyDescent="0.25"/>
    <row r="167" s="129" customFormat="1" x14ac:dyDescent="0.25"/>
    <row r="168" s="129" customFormat="1" x14ac:dyDescent="0.25"/>
    <row r="169" s="129" customFormat="1" x14ac:dyDescent="0.25"/>
    <row r="170" s="129" customFormat="1" x14ac:dyDescent="0.25"/>
    <row r="171" s="129" customFormat="1" x14ac:dyDescent="0.25"/>
    <row r="172" s="129" customFormat="1" x14ac:dyDescent="0.25"/>
    <row r="173" s="129" customFormat="1" x14ac:dyDescent="0.25"/>
    <row r="174" s="129" customFormat="1" x14ac:dyDescent="0.25"/>
    <row r="175" s="129" customFormat="1" x14ac:dyDescent="0.25"/>
    <row r="176" s="129" customFormat="1" x14ac:dyDescent="0.25"/>
    <row r="177" s="129" customFormat="1" x14ac:dyDescent="0.25"/>
    <row r="178" s="129" customFormat="1" x14ac:dyDescent="0.25"/>
    <row r="179" s="129" customFormat="1" x14ac:dyDescent="0.25"/>
    <row r="180" s="129" customFormat="1" x14ac:dyDescent="0.25"/>
    <row r="181" s="129" customFormat="1" x14ac:dyDescent="0.25"/>
    <row r="182" s="129" customFormat="1" x14ac:dyDescent="0.25"/>
    <row r="183" s="129" customFormat="1" x14ac:dyDescent="0.25"/>
    <row r="184" s="129" customFormat="1" x14ac:dyDescent="0.25"/>
    <row r="185" s="129" customFormat="1" x14ac:dyDescent="0.25"/>
    <row r="186" s="129" customFormat="1" x14ac:dyDescent="0.25"/>
    <row r="187" s="129" customFormat="1" x14ac:dyDescent="0.25"/>
    <row r="188" s="129" customFormat="1" x14ac:dyDescent="0.25"/>
    <row r="189" s="129" customFormat="1" x14ac:dyDescent="0.25"/>
    <row r="190" s="129" customFormat="1" x14ac:dyDescent="0.25"/>
    <row r="191" s="129" customFormat="1" x14ac:dyDescent="0.25"/>
    <row r="192" s="129" customFormat="1" x14ac:dyDescent="0.25"/>
    <row r="193" s="129" customFormat="1" x14ac:dyDescent="0.25"/>
    <row r="194" s="129" customFormat="1" x14ac:dyDescent="0.25"/>
    <row r="195" s="129" customFormat="1" x14ac:dyDescent="0.25"/>
    <row r="196" s="129" customFormat="1" x14ac:dyDescent="0.25"/>
    <row r="197" s="129" customFormat="1" x14ac:dyDescent="0.25"/>
    <row r="198" s="129" customFormat="1" x14ac:dyDescent="0.25"/>
    <row r="199" s="129" customFormat="1" x14ac:dyDescent="0.25"/>
    <row r="200" s="129" customFormat="1" x14ac:dyDescent="0.25"/>
    <row r="201" s="129" customFormat="1" x14ac:dyDescent="0.25"/>
    <row r="202" s="129" customFormat="1" x14ac:dyDescent="0.25"/>
    <row r="203" s="129" customFormat="1" x14ac:dyDescent="0.25"/>
    <row r="204" s="129" customFormat="1" x14ac:dyDescent="0.25"/>
    <row r="205" s="129" customFormat="1" x14ac:dyDescent="0.25"/>
    <row r="206" s="129" customFormat="1" x14ac:dyDescent="0.25"/>
    <row r="207" s="129" customFormat="1" x14ac:dyDescent="0.25"/>
    <row r="208" s="129" customFormat="1" x14ac:dyDescent="0.25"/>
    <row r="209" s="129" customFormat="1" x14ac:dyDescent="0.25"/>
    <row r="210" s="129" customFormat="1" x14ac:dyDescent="0.25"/>
    <row r="211" s="129" customFormat="1" x14ac:dyDescent="0.25"/>
    <row r="212" s="129" customFormat="1" x14ac:dyDescent="0.25"/>
    <row r="213" s="129" customFormat="1" x14ac:dyDescent="0.25"/>
    <row r="214" s="129" customFormat="1" x14ac:dyDescent="0.25"/>
    <row r="215" s="129" customFormat="1" x14ac:dyDescent="0.25"/>
    <row r="216" s="129" customFormat="1" x14ac:dyDescent="0.25"/>
    <row r="217" s="129" customFormat="1" x14ac:dyDescent="0.25"/>
    <row r="218" s="129" customFormat="1" x14ac:dyDescent="0.25"/>
    <row r="219" s="129" customFormat="1" x14ac:dyDescent="0.25"/>
    <row r="220" s="129" customFormat="1" x14ac:dyDescent="0.25"/>
    <row r="221" s="129" customFormat="1" x14ac:dyDescent="0.25"/>
    <row r="222" s="129" customFormat="1" x14ac:dyDescent="0.25"/>
    <row r="223" s="129" customFormat="1" x14ac:dyDescent="0.25"/>
    <row r="224" s="129" customFormat="1" x14ac:dyDescent="0.25"/>
    <row r="225" s="129" customFormat="1" x14ac:dyDescent="0.25"/>
    <row r="226" s="129" customFormat="1" x14ac:dyDescent="0.25"/>
  </sheetData>
  <customSheetViews>
    <customSheetView guid="{B6CE57D0-3B00-4AA5-8045-5810B3AC38EF}">
      <selection activeCell="B6" sqref="B6:C8"/>
      <pageMargins left="0.7" right="0.7" top="0.75" bottom="0.75" header="0.3" footer="0.3"/>
      <pageSetup paperSize="9" orientation="portrait" r:id="rId1"/>
    </customSheetView>
    <customSheetView guid="{C5B98205-32EA-4978-BDE9-09FE8244BB3C}" topLeftCell="A67">
      <selection activeCell="C77" sqref="C77"/>
      <pageMargins left="0.7" right="0.7" top="0.75" bottom="0.75" header="0.3" footer="0.3"/>
      <pageSetup paperSize="9" orientation="portrait" r:id="rId2"/>
    </customSheetView>
    <customSheetView guid="{10B7B1F1-9BAA-4B0F-A300-C1E3D2D5095B}" topLeftCell="A58">
      <selection activeCell="M66" sqref="M66"/>
      <pageMargins left="0.7" right="0.7" top="0.75" bottom="0.75" header="0.3" footer="0.3"/>
      <pageSetup paperSize="9" orientation="portrait" r:id="rId3"/>
    </customSheetView>
    <customSheetView guid="{A0472B5E-ED4B-42A6-A051-1D638E3EAB28}">
      <selection activeCell="I5" sqref="I5"/>
      <pageMargins left="0.7" right="0.7" top="0.75" bottom="0.75" header="0.3" footer="0.3"/>
      <pageSetup paperSize="9" orientation="portrait" r:id="rId4"/>
    </customSheetView>
  </customSheetViews>
  <mergeCells count="10">
    <mergeCell ref="B37:F37"/>
    <mergeCell ref="C50:E50"/>
    <mergeCell ref="F50:H50"/>
    <mergeCell ref="I50:K50"/>
    <mergeCell ref="L50:N50"/>
    <mergeCell ref="B6:C6"/>
    <mergeCell ref="B7:C7"/>
    <mergeCell ref="B8:C8"/>
    <mergeCell ref="B11:I11"/>
    <mergeCell ref="B20:I20"/>
  </mergeCells>
  <pageMargins left="0.7" right="0.7" top="0.75" bottom="0.75" header="0.3" footer="0.3"/>
  <pageSetup paperSize="9" orientation="portrait" r:id="rId5"/>
  <customProperties>
    <customPr name="EpmWorksheetKeyString_GUID" r:id="rId6"/>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1"/>
  <sheetViews>
    <sheetView workbookViewId="0">
      <selection activeCell="D66" sqref="D66"/>
    </sheetView>
  </sheetViews>
  <sheetFormatPr defaultRowHeight="15" x14ac:dyDescent="0.25"/>
  <cols>
    <col min="1" max="1" width="13.85546875" customWidth="1"/>
    <col min="2" max="2" width="21.140625" customWidth="1"/>
    <col min="3" max="3" width="14.85546875" customWidth="1"/>
    <col min="4" max="4" width="15.5703125" style="91" customWidth="1"/>
    <col min="5" max="5" width="15.28515625" style="91" customWidth="1"/>
    <col min="6" max="6" width="18.28515625" style="91" customWidth="1"/>
    <col min="7" max="7" width="12.85546875" customWidth="1"/>
    <col min="8" max="8" width="14.42578125" customWidth="1"/>
    <col min="9" max="9" width="19.85546875" customWidth="1"/>
    <col min="10" max="10" width="16.28515625" customWidth="1"/>
    <col min="11" max="14" width="13.7109375" customWidth="1"/>
    <col min="15" max="25" width="11.85546875" customWidth="1"/>
    <col min="26" max="28" width="29.85546875" customWidth="1"/>
  </cols>
  <sheetData>
    <row r="1" spans="1:12" ht="23.25" x14ac:dyDescent="0.35">
      <c r="A1" s="12" t="s">
        <v>39</v>
      </c>
      <c r="B1" s="12"/>
      <c r="C1" s="77" t="s">
        <v>68</v>
      </c>
      <c r="G1" s="74"/>
    </row>
    <row r="2" spans="1:12" ht="21" x14ac:dyDescent="0.35">
      <c r="A2" s="56" t="s">
        <v>40</v>
      </c>
      <c r="B2" s="12"/>
      <c r="C2" s="120">
        <f>SUM(D57+G57+J57+M57)</f>
        <v>2738800</v>
      </c>
      <c r="G2" s="74"/>
    </row>
    <row r="4" spans="1:12" s="13" customFormat="1" ht="21" x14ac:dyDescent="0.35">
      <c r="A4" s="13" t="s">
        <v>42</v>
      </c>
      <c r="D4" s="92"/>
      <c r="E4" s="92"/>
      <c r="F4" s="92"/>
    </row>
    <row r="5" spans="1:12" ht="24" thickBot="1" x14ac:dyDescent="0.4">
      <c r="A5" s="77" t="s">
        <v>138</v>
      </c>
      <c r="D5" s="93"/>
    </row>
    <row r="6" spans="1:12" ht="16.5" customHeight="1" x14ac:dyDescent="0.25">
      <c r="B6" s="251" t="s">
        <v>7</v>
      </c>
      <c r="C6" s="252"/>
      <c r="D6" s="94">
        <f>H14</f>
        <v>1035000</v>
      </c>
    </row>
    <row r="7" spans="1:12" ht="16.5" customHeight="1" x14ac:dyDescent="0.25">
      <c r="B7" s="253" t="s">
        <v>8</v>
      </c>
      <c r="C7" s="254"/>
      <c r="D7" s="95">
        <f>H25</f>
        <v>4420600</v>
      </c>
    </row>
    <row r="8" spans="1:12" ht="16.5" customHeight="1" thickBot="1" x14ac:dyDescent="0.3">
      <c r="B8" s="255" t="s">
        <v>9</v>
      </c>
      <c r="C8" s="256"/>
      <c r="D8" s="96">
        <f>D6-D7</f>
        <v>-3385600</v>
      </c>
    </row>
    <row r="9" spans="1:12" ht="16.5" customHeight="1" x14ac:dyDescent="0.25">
      <c r="B9" s="76"/>
      <c r="C9" s="76"/>
    </row>
    <row r="10" spans="1:12" ht="16.5" customHeight="1" x14ac:dyDescent="0.25">
      <c r="A10" s="75"/>
    </row>
    <row r="11" spans="1:12" ht="16.5" customHeight="1" x14ac:dyDescent="0.25">
      <c r="B11" s="257" t="s">
        <v>58</v>
      </c>
      <c r="C11" s="257"/>
      <c r="D11" s="257"/>
      <c r="E11" s="257"/>
      <c r="F11" s="257"/>
      <c r="G11" s="257"/>
      <c r="H11" s="257"/>
      <c r="I11" s="257"/>
    </row>
    <row r="12" spans="1:12" ht="16.5" customHeight="1" thickBot="1" x14ac:dyDescent="0.3">
      <c r="B12" s="4"/>
      <c r="C12" s="4"/>
    </row>
    <row r="13" spans="1:12" s="83" customFormat="1" ht="67.5" customHeight="1" thickBot="1" x14ac:dyDescent="0.4">
      <c r="A13" s="79"/>
      <c r="B13" s="55" t="s">
        <v>38</v>
      </c>
      <c r="C13" s="18">
        <v>2022</v>
      </c>
      <c r="D13" s="38">
        <v>2023</v>
      </c>
      <c r="E13" s="38">
        <v>2024</v>
      </c>
      <c r="F13" s="38">
        <v>2025</v>
      </c>
      <c r="G13" s="18">
        <v>2026</v>
      </c>
      <c r="H13" s="44" t="s">
        <v>10</v>
      </c>
      <c r="I13" s="47" t="s">
        <v>36</v>
      </c>
      <c r="J13" s="40"/>
      <c r="K13" s="41"/>
      <c r="L13" s="41"/>
    </row>
    <row r="14" spans="1:12" s="83" customFormat="1" ht="16.5" customHeight="1" x14ac:dyDescent="0.25">
      <c r="B14" s="48" t="s">
        <v>6</v>
      </c>
      <c r="C14" s="49">
        <f t="shared" ref="C14:H14" si="0">SUM(C15+C17)</f>
        <v>207000</v>
      </c>
      <c r="D14" s="97">
        <f t="shared" si="0"/>
        <v>207000</v>
      </c>
      <c r="E14" s="97">
        <f t="shared" si="0"/>
        <v>207000</v>
      </c>
      <c r="F14" s="97">
        <f t="shared" si="0"/>
        <v>207000</v>
      </c>
      <c r="G14" s="49">
        <f t="shared" si="0"/>
        <v>207000</v>
      </c>
      <c r="H14" s="65">
        <f t="shared" si="0"/>
        <v>1035000</v>
      </c>
      <c r="I14" s="50"/>
      <c r="J14" s="42"/>
      <c r="K14" s="75"/>
      <c r="L14" s="43"/>
    </row>
    <row r="15" spans="1:12" s="83" customFormat="1" ht="16.5" customHeight="1" x14ac:dyDescent="0.25">
      <c r="B15" s="45" t="s">
        <v>44</v>
      </c>
      <c r="C15" s="46">
        <f t="shared" ref="C15:H15" si="1">SUM(C16:C16)</f>
        <v>0</v>
      </c>
      <c r="D15" s="98">
        <f t="shared" si="1"/>
        <v>0</v>
      </c>
      <c r="E15" s="98">
        <f t="shared" si="1"/>
        <v>0</v>
      </c>
      <c r="F15" s="98">
        <f t="shared" si="1"/>
        <v>0</v>
      </c>
      <c r="G15" s="46">
        <f t="shared" si="1"/>
        <v>0</v>
      </c>
      <c r="H15" s="46">
        <f t="shared" si="1"/>
        <v>0</v>
      </c>
      <c r="I15" s="16"/>
      <c r="J15" s="42"/>
      <c r="K15" s="43"/>
      <c r="L15" s="43"/>
    </row>
    <row r="16" spans="1:12" s="83" customFormat="1" ht="16.5" customHeight="1" x14ac:dyDescent="0.25">
      <c r="B16" s="9" t="s">
        <v>41</v>
      </c>
      <c r="C16" s="15"/>
      <c r="D16" s="99"/>
      <c r="E16" s="99"/>
      <c r="F16" s="99"/>
      <c r="G16" s="15"/>
      <c r="H16" s="37">
        <f t="shared" ref="H16:H20" si="2">SUM(C16:G16)</f>
        <v>0</v>
      </c>
      <c r="I16" s="16"/>
      <c r="J16" s="42"/>
      <c r="K16" s="43"/>
      <c r="L16" s="43"/>
    </row>
    <row r="17" spans="1:12" s="83" customFormat="1" ht="16.5" customHeight="1" x14ac:dyDescent="0.25">
      <c r="B17" s="45" t="s">
        <v>45</v>
      </c>
      <c r="C17" s="46">
        <f t="shared" ref="C17:H17" si="3">SUM(C18:C20)</f>
        <v>207000</v>
      </c>
      <c r="D17" s="98">
        <f t="shared" si="3"/>
        <v>207000</v>
      </c>
      <c r="E17" s="98">
        <f t="shared" si="3"/>
        <v>207000</v>
      </c>
      <c r="F17" s="98">
        <f t="shared" si="3"/>
        <v>207000</v>
      </c>
      <c r="G17" s="46">
        <f t="shared" si="3"/>
        <v>207000</v>
      </c>
      <c r="H17" s="46">
        <f t="shared" si="3"/>
        <v>1035000</v>
      </c>
      <c r="I17" s="16"/>
      <c r="J17" s="42"/>
      <c r="K17" s="43"/>
      <c r="L17" s="43"/>
    </row>
    <row r="18" spans="1:12" s="83" customFormat="1" ht="16.5" customHeight="1" x14ac:dyDescent="0.25">
      <c r="B18" s="9" t="s">
        <v>157</v>
      </c>
      <c r="C18" s="15">
        <v>167000</v>
      </c>
      <c r="D18" s="99">
        <f>C18</f>
        <v>167000</v>
      </c>
      <c r="E18" s="99">
        <f t="shared" ref="E18:G18" si="4">D18</f>
        <v>167000</v>
      </c>
      <c r="F18" s="99">
        <f t="shared" si="4"/>
        <v>167000</v>
      </c>
      <c r="G18" s="15">
        <f t="shared" si="4"/>
        <v>167000</v>
      </c>
      <c r="H18" s="37">
        <f t="shared" si="2"/>
        <v>835000</v>
      </c>
      <c r="I18" s="125" t="s">
        <v>129</v>
      </c>
      <c r="J18" s="42"/>
      <c r="K18" s="43"/>
      <c r="L18" s="43"/>
    </row>
    <row r="19" spans="1:12" s="83" customFormat="1" ht="16.5" customHeight="1" x14ac:dyDescent="0.25">
      <c r="B19" s="17" t="s">
        <v>47</v>
      </c>
      <c r="C19" s="15">
        <v>20000</v>
      </c>
      <c r="D19" s="99">
        <f>C19</f>
        <v>20000</v>
      </c>
      <c r="E19" s="99">
        <f t="shared" ref="E19:G20" si="5">D19</f>
        <v>20000</v>
      </c>
      <c r="F19" s="99">
        <f t="shared" si="5"/>
        <v>20000</v>
      </c>
      <c r="G19" s="15">
        <f t="shared" si="5"/>
        <v>20000</v>
      </c>
      <c r="H19" s="37">
        <f t="shared" si="2"/>
        <v>100000</v>
      </c>
      <c r="I19" s="125" t="s">
        <v>129</v>
      </c>
      <c r="J19" s="42"/>
      <c r="K19" s="43"/>
      <c r="L19" s="43"/>
    </row>
    <row r="20" spans="1:12" s="83" customFormat="1" ht="16.5" customHeight="1" thickBot="1" x14ac:dyDescent="0.3">
      <c r="B20" s="51" t="s">
        <v>72</v>
      </c>
      <c r="C20" s="52">
        <v>20000</v>
      </c>
      <c r="D20" s="100">
        <f>C20</f>
        <v>20000</v>
      </c>
      <c r="E20" s="100">
        <f t="shared" si="5"/>
        <v>20000</v>
      </c>
      <c r="F20" s="100">
        <f t="shared" si="5"/>
        <v>20000</v>
      </c>
      <c r="G20" s="52">
        <f t="shared" si="5"/>
        <v>20000</v>
      </c>
      <c r="H20" s="54">
        <f t="shared" si="2"/>
        <v>100000</v>
      </c>
      <c r="I20" s="126" t="s">
        <v>129</v>
      </c>
      <c r="J20" s="42"/>
      <c r="K20" s="43"/>
      <c r="L20" s="43"/>
    </row>
    <row r="21" spans="1:12" s="83" customFormat="1" ht="16.5" customHeight="1" x14ac:dyDescent="0.25">
      <c r="B21" s="58"/>
      <c r="C21" s="59"/>
      <c r="D21" s="101"/>
      <c r="E21" s="101"/>
      <c r="F21" s="101"/>
      <c r="G21" s="59"/>
      <c r="H21" s="59"/>
      <c r="I21" s="59"/>
      <c r="J21" s="42"/>
      <c r="K21" s="43"/>
      <c r="L21" s="43"/>
    </row>
    <row r="22" spans="1:12" s="83" customFormat="1" ht="16.5" customHeight="1" x14ac:dyDescent="0.25">
      <c r="B22" s="259" t="s">
        <v>59</v>
      </c>
      <c r="C22" s="259"/>
      <c r="D22" s="259"/>
      <c r="E22" s="259"/>
      <c r="F22" s="259"/>
      <c r="G22" s="259"/>
      <c r="H22" s="259"/>
      <c r="I22" s="259"/>
    </row>
    <row r="23" spans="1:12" s="83" customFormat="1" ht="16.5" customHeight="1" thickBot="1" x14ac:dyDescent="0.3">
      <c r="D23" s="89"/>
      <c r="E23" s="89"/>
      <c r="F23" s="89"/>
    </row>
    <row r="24" spans="1:12" s="83" customFormat="1" ht="66.75" customHeight="1" thickBot="1" x14ac:dyDescent="0.4">
      <c r="A24" s="79"/>
      <c r="B24" s="55" t="s">
        <v>38</v>
      </c>
      <c r="C24" s="18">
        <v>2022</v>
      </c>
      <c r="D24" s="38">
        <v>2023</v>
      </c>
      <c r="E24" s="38">
        <v>2024</v>
      </c>
      <c r="F24" s="38">
        <v>2025</v>
      </c>
      <c r="G24" s="18">
        <v>2026</v>
      </c>
      <c r="H24" s="44" t="s">
        <v>10</v>
      </c>
      <c r="I24" s="47" t="s">
        <v>36</v>
      </c>
      <c r="J24" s="40"/>
      <c r="K24" s="41"/>
      <c r="L24" s="41"/>
    </row>
    <row r="25" spans="1:12" s="83" customFormat="1" ht="16.5" customHeight="1" x14ac:dyDescent="0.25">
      <c r="B25" s="48" t="s">
        <v>6</v>
      </c>
      <c r="C25" s="49">
        <f t="shared" ref="C25:H25" si="6">SUM(C26+C29)</f>
        <v>791000</v>
      </c>
      <c r="D25" s="97">
        <f t="shared" si="6"/>
        <v>810600</v>
      </c>
      <c r="E25" s="97">
        <f t="shared" si="6"/>
        <v>904400</v>
      </c>
      <c r="F25" s="97">
        <f t="shared" si="6"/>
        <v>646800</v>
      </c>
      <c r="G25" s="49">
        <f t="shared" si="6"/>
        <v>853800</v>
      </c>
      <c r="H25" s="65">
        <f t="shared" si="6"/>
        <v>4420600</v>
      </c>
      <c r="I25" s="50"/>
      <c r="J25" s="42"/>
      <c r="K25" s="43"/>
      <c r="L25" s="43"/>
    </row>
    <row r="26" spans="1:12" s="83" customFormat="1" ht="16.5" customHeight="1" x14ac:dyDescent="0.25">
      <c r="B26" s="45" t="s">
        <v>44</v>
      </c>
      <c r="C26" s="46">
        <f t="shared" ref="C26:H26" si="7">SUM(C27:C28)</f>
        <v>0</v>
      </c>
      <c r="D26" s="98">
        <f t="shared" si="7"/>
        <v>0</v>
      </c>
      <c r="E26" s="98">
        <f t="shared" si="7"/>
        <v>280000</v>
      </c>
      <c r="F26" s="98">
        <f t="shared" si="7"/>
        <v>0</v>
      </c>
      <c r="G26" s="46">
        <f t="shared" si="7"/>
        <v>0</v>
      </c>
      <c r="H26" s="46">
        <f t="shared" si="7"/>
        <v>280000</v>
      </c>
      <c r="I26" s="16"/>
      <c r="J26" s="42"/>
      <c r="L26" s="43"/>
    </row>
    <row r="27" spans="1:12" s="83" customFormat="1" ht="16.5" customHeight="1" x14ac:dyDescent="0.25">
      <c r="B27" s="63" t="s">
        <v>37</v>
      </c>
      <c r="C27" s="64">
        <f>D58</f>
        <v>0</v>
      </c>
      <c r="D27" s="102">
        <f>G58</f>
        <v>0</v>
      </c>
      <c r="E27" s="102">
        <f>J58</f>
        <v>280000</v>
      </c>
      <c r="F27" s="102">
        <f>M58</f>
        <v>0</v>
      </c>
      <c r="G27" s="46">
        <v>0</v>
      </c>
      <c r="H27" s="46">
        <f t="shared" ref="H27:H28" si="8">SUM(C27:G27)</f>
        <v>280000</v>
      </c>
      <c r="I27" s="16"/>
      <c r="J27" s="42"/>
      <c r="L27" s="43"/>
    </row>
    <row r="28" spans="1:12" s="83" customFormat="1" ht="16.5" customHeight="1" x14ac:dyDescent="0.25">
      <c r="B28" s="9" t="s">
        <v>1</v>
      </c>
      <c r="C28" s="15"/>
      <c r="D28" s="99"/>
      <c r="E28" s="99"/>
      <c r="F28" s="99"/>
      <c r="G28" s="15"/>
      <c r="H28" s="15">
        <f t="shared" si="8"/>
        <v>0</v>
      </c>
      <c r="I28" s="16"/>
      <c r="J28" s="42"/>
      <c r="K28" s="43"/>
      <c r="L28" s="43"/>
    </row>
    <row r="29" spans="1:12" s="83" customFormat="1" ht="16.5" customHeight="1" x14ac:dyDescent="0.25">
      <c r="B29" s="45" t="s">
        <v>45</v>
      </c>
      <c r="C29" s="46">
        <f>SUM(C30:C34)</f>
        <v>791000</v>
      </c>
      <c r="D29" s="98">
        <f>SUM(D30:D34)</f>
        <v>810600</v>
      </c>
      <c r="E29" s="98">
        <f>J60+J65</f>
        <v>624400</v>
      </c>
      <c r="F29" s="98">
        <f>M60+M65</f>
        <v>646800</v>
      </c>
      <c r="G29" s="46">
        <f>SUM(G30:G34)</f>
        <v>853800</v>
      </c>
      <c r="H29" s="46">
        <f>SUM(H30:H34)</f>
        <v>4140600</v>
      </c>
      <c r="I29" s="16"/>
      <c r="J29" s="42"/>
      <c r="K29" s="43"/>
      <c r="L29" s="43"/>
    </row>
    <row r="30" spans="1:12" s="83" customFormat="1" ht="16.5" customHeight="1" x14ac:dyDescent="0.25">
      <c r="B30" s="63" t="s">
        <v>55</v>
      </c>
      <c r="C30" s="64">
        <f>D60</f>
        <v>280000</v>
      </c>
      <c r="D30" s="102">
        <f>G60</f>
        <v>299600</v>
      </c>
      <c r="E30" s="102">
        <f>J60</f>
        <v>320400</v>
      </c>
      <c r="F30" s="102">
        <f>M60</f>
        <v>342800</v>
      </c>
      <c r="G30" s="46">
        <f>F30</f>
        <v>342800</v>
      </c>
      <c r="H30" s="15">
        <f>SUM(C30:G30)</f>
        <v>1585600</v>
      </c>
      <c r="I30" s="125" t="s">
        <v>107</v>
      </c>
      <c r="J30" s="42"/>
      <c r="K30" s="43"/>
      <c r="L30" s="43"/>
    </row>
    <row r="31" spans="1:12" s="83" customFormat="1" ht="16.5" customHeight="1" x14ac:dyDescent="0.25">
      <c r="B31" s="63" t="s">
        <v>56</v>
      </c>
      <c r="C31" s="64">
        <f>D65</f>
        <v>304000</v>
      </c>
      <c r="D31" s="102">
        <f>G65</f>
        <v>304000</v>
      </c>
      <c r="E31" s="102">
        <f>J65</f>
        <v>304000</v>
      </c>
      <c r="F31" s="102">
        <f>M65</f>
        <v>304000</v>
      </c>
      <c r="G31" s="46">
        <f>F31</f>
        <v>304000</v>
      </c>
      <c r="H31" s="15">
        <f>SUM(C31:G31)</f>
        <v>1520000</v>
      </c>
      <c r="I31" s="125" t="s">
        <v>107</v>
      </c>
      <c r="J31" s="42"/>
      <c r="K31" s="43"/>
      <c r="L31" s="43"/>
    </row>
    <row r="32" spans="1:12" s="83" customFormat="1" ht="16.5" customHeight="1" x14ac:dyDescent="0.25">
      <c r="B32" s="9" t="s">
        <v>157</v>
      </c>
      <c r="C32" s="15">
        <f>C18</f>
        <v>167000</v>
      </c>
      <c r="D32" s="99">
        <f>D18</f>
        <v>167000</v>
      </c>
      <c r="E32" s="99">
        <f>E18</f>
        <v>167000</v>
      </c>
      <c r="F32" s="99">
        <f>F18</f>
        <v>167000</v>
      </c>
      <c r="G32" s="15">
        <f>G18</f>
        <v>167000</v>
      </c>
      <c r="H32" s="15">
        <f t="shared" ref="H32:H34" si="9">SUM(C32:G32)</f>
        <v>835000</v>
      </c>
      <c r="I32" s="125" t="s">
        <v>129</v>
      </c>
      <c r="J32" s="42"/>
      <c r="K32" s="43"/>
      <c r="L32" s="43"/>
    </row>
    <row r="33" spans="1:12" s="83" customFormat="1" ht="16.5" customHeight="1" x14ac:dyDescent="0.25">
      <c r="B33" s="17" t="s">
        <v>47</v>
      </c>
      <c r="C33" s="15">
        <v>20000</v>
      </c>
      <c r="D33" s="99">
        <f>C33</f>
        <v>20000</v>
      </c>
      <c r="E33" s="99">
        <f t="shared" ref="E33:E34" si="10">D33</f>
        <v>20000</v>
      </c>
      <c r="F33" s="99">
        <f t="shared" ref="F33:F34" si="11">E33</f>
        <v>20000</v>
      </c>
      <c r="G33" s="15">
        <f t="shared" ref="G33:G34" si="12">F33</f>
        <v>20000</v>
      </c>
      <c r="H33" s="15">
        <f t="shared" si="9"/>
        <v>100000</v>
      </c>
      <c r="I33" s="125" t="s">
        <v>129</v>
      </c>
      <c r="J33" s="42"/>
      <c r="K33" s="43"/>
      <c r="L33" s="43"/>
    </row>
    <row r="34" spans="1:12" s="83" customFormat="1" ht="16.5" customHeight="1" thickBot="1" x14ac:dyDescent="0.3">
      <c r="B34" s="51" t="s">
        <v>72</v>
      </c>
      <c r="C34" s="52">
        <v>20000</v>
      </c>
      <c r="D34" s="100">
        <f>C34</f>
        <v>20000</v>
      </c>
      <c r="E34" s="100">
        <f t="shared" si="10"/>
        <v>20000</v>
      </c>
      <c r="F34" s="100">
        <f t="shared" si="11"/>
        <v>20000</v>
      </c>
      <c r="G34" s="52">
        <f t="shared" si="12"/>
        <v>20000</v>
      </c>
      <c r="H34" s="52">
        <f t="shared" si="9"/>
        <v>100000</v>
      </c>
      <c r="I34" s="126" t="s">
        <v>129</v>
      </c>
      <c r="J34" s="42"/>
      <c r="K34" s="43"/>
      <c r="L34" s="43"/>
    </row>
    <row r="35" spans="1:12" ht="16.5" customHeight="1" x14ac:dyDescent="0.25">
      <c r="J35" s="5"/>
    </row>
    <row r="36" spans="1:12" s="83" customFormat="1" ht="30" x14ac:dyDescent="0.35">
      <c r="A36" s="80"/>
      <c r="B36" s="69" t="s">
        <v>11</v>
      </c>
      <c r="C36" s="68" t="s">
        <v>15</v>
      </c>
      <c r="D36" s="68" t="s">
        <v>16</v>
      </c>
      <c r="E36" s="68" t="s">
        <v>60</v>
      </c>
      <c r="F36" s="68" t="s">
        <v>19</v>
      </c>
    </row>
    <row r="37" spans="1:12" s="83" customFormat="1" ht="120" x14ac:dyDescent="0.25">
      <c r="B37" s="180" t="s">
        <v>239</v>
      </c>
      <c r="C37" s="181" t="s">
        <v>79</v>
      </c>
      <c r="D37" s="182">
        <v>-0.5</v>
      </c>
      <c r="E37" s="181" t="s">
        <v>80</v>
      </c>
      <c r="F37" s="180" t="s">
        <v>81</v>
      </c>
    </row>
    <row r="38" spans="1:12" s="83" customFormat="1" ht="90" x14ac:dyDescent="0.25">
      <c r="B38" s="180" t="s">
        <v>240</v>
      </c>
      <c r="C38" s="181" t="s">
        <v>82</v>
      </c>
      <c r="D38" s="182">
        <v>7.5</v>
      </c>
      <c r="E38" s="181" t="s">
        <v>83</v>
      </c>
      <c r="F38" s="180" t="s">
        <v>84</v>
      </c>
    </row>
    <row r="39" spans="1:12" s="83" customFormat="1" ht="75" x14ac:dyDescent="0.25">
      <c r="B39" s="180" t="s">
        <v>241</v>
      </c>
      <c r="C39" s="181" t="s">
        <v>85</v>
      </c>
      <c r="D39" s="182">
        <v>-0.15</v>
      </c>
      <c r="E39" s="181" t="s">
        <v>86</v>
      </c>
      <c r="F39" s="180" t="s">
        <v>238</v>
      </c>
    </row>
    <row r="40" spans="1:12" s="83" customFormat="1" ht="54" customHeight="1" x14ac:dyDescent="0.25">
      <c r="B40" s="180" t="s">
        <v>242</v>
      </c>
      <c r="C40" s="181" t="s">
        <v>87</v>
      </c>
      <c r="D40" s="182">
        <v>-0.5</v>
      </c>
      <c r="E40" s="181" t="s">
        <v>88</v>
      </c>
      <c r="F40" s="180" t="s">
        <v>89</v>
      </c>
    </row>
    <row r="41" spans="1:12" s="83" customFormat="1" ht="90" x14ac:dyDescent="0.25">
      <c r="B41" s="180" t="s">
        <v>243</v>
      </c>
      <c r="C41" s="181" t="s">
        <v>90</v>
      </c>
      <c r="D41" s="182">
        <v>0.2</v>
      </c>
      <c r="E41" s="181" t="s">
        <v>91</v>
      </c>
      <c r="F41" s="180" t="s">
        <v>92</v>
      </c>
    </row>
    <row r="42" spans="1:12" s="83" customFormat="1" x14ac:dyDescent="0.25">
      <c r="B42" s="90"/>
      <c r="C42" s="39"/>
      <c r="D42" s="103"/>
      <c r="E42" s="103"/>
      <c r="F42" s="103"/>
    </row>
    <row r="43" spans="1:12" s="83" customFormat="1" ht="46.5" customHeight="1" x14ac:dyDescent="0.25">
      <c r="B43" s="261" t="s">
        <v>57</v>
      </c>
      <c r="C43" s="262"/>
      <c r="D43" s="262"/>
      <c r="E43" s="262"/>
      <c r="F43" s="262"/>
      <c r="G43" s="68" t="s">
        <v>15</v>
      </c>
      <c r="H43" s="68" t="s">
        <v>16</v>
      </c>
      <c r="I43" s="68" t="s">
        <v>60</v>
      </c>
      <c r="J43" s="68" t="s">
        <v>19</v>
      </c>
    </row>
    <row r="44" spans="1:12" s="83" customFormat="1" x14ac:dyDescent="0.25">
      <c r="B44" s="11" t="s">
        <v>26</v>
      </c>
      <c r="C44" s="19"/>
      <c r="D44" s="104"/>
      <c r="E44" s="104"/>
      <c r="F44" s="105"/>
      <c r="G44" s="10"/>
      <c r="H44" s="10"/>
      <c r="I44" s="10"/>
      <c r="J44" s="10"/>
    </row>
    <row r="45" spans="1:12" s="83" customFormat="1" x14ac:dyDescent="0.25">
      <c r="B45" s="11" t="s">
        <v>20</v>
      </c>
      <c r="C45" s="19"/>
      <c r="D45" s="104"/>
      <c r="E45" s="104"/>
      <c r="F45" s="105"/>
      <c r="G45" s="10"/>
      <c r="H45" s="10"/>
      <c r="I45" s="10"/>
      <c r="J45" s="10"/>
    </row>
    <row r="46" spans="1:12" s="83" customFormat="1" x14ac:dyDescent="0.25">
      <c r="B46" s="11" t="s">
        <v>27</v>
      </c>
      <c r="C46" s="19"/>
      <c r="D46" s="104"/>
      <c r="E46" s="104"/>
      <c r="F46" s="105"/>
      <c r="G46" s="10"/>
      <c r="H46" s="10"/>
      <c r="I46" s="10"/>
      <c r="J46" s="10"/>
    </row>
    <row r="47" spans="1:12" s="83" customFormat="1" x14ac:dyDescent="0.25">
      <c r="B47" s="11" t="s">
        <v>21</v>
      </c>
      <c r="C47" s="19"/>
      <c r="D47" s="104"/>
      <c r="E47" s="104"/>
      <c r="F47" s="105"/>
      <c r="G47" s="10"/>
      <c r="H47" s="10"/>
      <c r="I47" s="10"/>
      <c r="J47" s="10"/>
    </row>
    <row r="48" spans="1:12" s="83" customFormat="1" x14ac:dyDescent="0.25">
      <c r="B48" s="11" t="s">
        <v>22</v>
      </c>
      <c r="C48" s="19"/>
      <c r="D48" s="104"/>
      <c r="E48" s="104"/>
      <c r="F48" s="105"/>
      <c r="G48" s="10"/>
      <c r="H48" s="10"/>
      <c r="I48" s="10"/>
      <c r="J48" s="10"/>
    </row>
    <row r="49" spans="1:14" s="83" customFormat="1" x14ac:dyDescent="0.25">
      <c r="B49" s="11" t="s">
        <v>23</v>
      </c>
      <c r="C49" s="21"/>
      <c r="D49" s="106"/>
      <c r="E49" s="106"/>
      <c r="F49" s="107"/>
      <c r="G49" s="10"/>
      <c r="H49" s="10"/>
      <c r="I49" s="10"/>
      <c r="J49" s="10"/>
    </row>
    <row r="50" spans="1:14" s="83" customFormat="1" x14ac:dyDescent="0.25">
      <c r="B50" s="11" t="s">
        <v>24</v>
      </c>
      <c r="C50" s="19"/>
      <c r="D50" s="104"/>
      <c r="E50" s="104"/>
      <c r="F50" s="105"/>
      <c r="G50" s="10"/>
      <c r="H50" s="10"/>
      <c r="I50" s="10"/>
      <c r="J50" s="10"/>
    </row>
    <row r="51" spans="1:14" s="83" customFormat="1" ht="120" x14ac:dyDescent="0.25">
      <c r="B51" s="11" t="s">
        <v>25</v>
      </c>
      <c r="C51" s="19"/>
      <c r="D51" s="104"/>
      <c r="E51" s="104"/>
      <c r="F51" s="105"/>
      <c r="G51" s="85" t="s">
        <v>93</v>
      </c>
      <c r="H51" s="85" t="s">
        <v>94</v>
      </c>
      <c r="I51" s="85" t="s">
        <v>95</v>
      </c>
      <c r="J51" s="85" t="s">
        <v>96</v>
      </c>
    </row>
    <row r="52" spans="1:14" s="83" customFormat="1" x14ac:dyDescent="0.25">
      <c r="D52" s="89"/>
      <c r="E52" s="89"/>
      <c r="F52" s="89"/>
    </row>
    <row r="53" spans="1:14" s="7" customFormat="1" ht="21" x14ac:dyDescent="0.25">
      <c r="A53" s="23" t="s">
        <v>14</v>
      </c>
      <c r="D53" s="88"/>
      <c r="E53" s="88"/>
      <c r="F53" s="88"/>
    </row>
    <row r="54" spans="1:14" s="83" customFormat="1" ht="19.5" thickBot="1" x14ac:dyDescent="0.35">
      <c r="A54" s="6"/>
      <c r="D54" s="89"/>
      <c r="E54" s="89"/>
      <c r="F54" s="89"/>
    </row>
    <row r="55" spans="1:14" ht="14.25" customHeight="1" x14ac:dyDescent="0.25">
      <c r="A55" s="23"/>
      <c r="C55" s="82">
        <v>2022</v>
      </c>
      <c r="D55" s="2"/>
      <c r="E55" s="31"/>
      <c r="F55" s="82">
        <v>2023</v>
      </c>
      <c r="G55" s="2"/>
      <c r="H55" s="31"/>
      <c r="I55" s="82">
        <v>2024</v>
      </c>
      <c r="J55" s="2"/>
      <c r="K55" s="31"/>
      <c r="L55" s="82">
        <v>2025</v>
      </c>
      <c r="M55" s="2">
        <v>280000</v>
      </c>
      <c r="N55" s="31"/>
    </row>
    <row r="56" spans="1:14" ht="21" x14ac:dyDescent="0.35">
      <c r="A56" s="79"/>
      <c r="B56" s="24" t="s">
        <v>28</v>
      </c>
      <c r="C56" s="71" t="s">
        <v>12</v>
      </c>
      <c r="D56" s="68" t="s">
        <v>31</v>
      </c>
      <c r="E56" s="108" t="s">
        <v>30</v>
      </c>
      <c r="F56" s="109" t="s">
        <v>12</v>
      </c>
      <c r="G56" s="14" t="s">
        <v>31</v>
      </c>
      <c r="H56" s="72" t="s">
        <v>30</v>
      </c>
      <c r="I56" s="71" t="s">
        <v>12</v>
      </c>
      <c r="J56" s="14" t="s">
        <v>31</v>
      </c>
      <c r="K56" s="72" t="s">
        <v>30</v>
      </c>
      <c r="L56" s="71" t="s">
        <v>12</v>
      </c>
      <c r="M56" s="14" t="s">
        <v>31</v>
      </c>
      <c r="N56" s="72" t="s">
        <v>30</v>
      </c>
    </row>
    <row r="57" spans="1:14" ht="21" x14ac:dyDescent="0.35">
      <c r="A57" s="79"/>
      <c r="B57" s="24" t="s">
        <v>6</v>
      </c>
      <c r="C57" s="28" t="s">
        <v>13</v>
      </c>
      <c r="D57" s="110">
        <f>SUM(D58+D60+D65)</f>
        <v>584000</v>
      </c>
      <c r="E57" s="111" t="s">
        <v>13</v>
      </c>
      <c r="F57" s="112" t="s">
        <v>13</v>
      </c>
      <c r="G57" s="61">
        <f>SUM(G58+G60+G65)</f>
        <v>603600</v>
      </c>
      <c r="H57" s="29" t="s">
        <v>13</v>
      </c>
      <c r="I57" s="28" t="s">
        <v>13</v>
      </c>
      <c r="J57" s="61">
        <f>SUM(J58+J60+J65)</f>
        <v>904400</v>
      </c>
      <c r="K57" s="29" t="s">
        <v>13</v>
      </c>
      <c r="L57" s="28" t="s">
        <v>13</v>
      </c>
      <c r="M57" s="61">
        <f>SUM(M58+M60+M65)</f>
        <v>646800</v>
      </c>
      <c r="N57" s="29" t="s">
        <v>13</v>
      </c>
    </row>
    <row r="58" spans="1:14" s="60" customFormat="1" x14ac:dyDescent="0.25">
      <c r="B58" s="24" t="s">
        <v>29</v>
      </c>
      <c r="C58" s="26"/>
      <c r="D58" s="113">
        <f>SUM(D59:D59)</f>
        <v>0</v>
      </c>
      <c r="E58" s="114"/>
      <c r="F58" s="115"/>
      <c r="G58" s="34">
        <f>SUM(G59:G59)</f>
        <v>0</v>
      </c>
      <c r="H58" s="27"/>
      <c r="I58" s="26"/>
      <c r="J58" s="34">
        <f>SUM(J59:J59)</f>
        <v>280000</v>
      </c>
      <c r="K58" s="27"/>
      <c r="L58" s="26"/>
      <c r="M58" s="34">
        <f>SUM(M59:M59)</f>
        <v>0</v>
      </c>
      <c r="N58" s="27"/>
    </row>
    <row r="59" spans="1:14" x14ac:dyDescent="0.25">
      <c r="B59" s="25"/>
      <c r="C59" s="30" t="s">
        <v>48</v>
      </c>
      <c r="D59" s="116">
        <v>0</v>
      </c>
      <c r="E59" s="117"/>
      <c r="F59" s="30" t="s">
        <v>48</v>
      </c>
      <c r="G59" s="2">
        <v>0</v>
      </c>
      <c r="H59" s="31"/>
      <c r="I59" s="30" t="s">
        <v>48</v>
      </c>
      <c r="J59" s="2">
        <v>280000</v>
      </c>
      <c r="K59" s="31" t="s">
        <v>153</v>
      </c>
      <c r="L59" s="30" t="s">
        <v>48</v>
      </c>
      <c r="M59" s="2">
        <v>0</v>
      </c>
      <c r="N59" s="31"/>
    </row>
    <row r="60" spans="1:14" s="60" customFormat="1" x14ac:dyDescent="0.25">
      <c r="B60" s="24" t="s">
        <v>43</v>
      </c>
      <c r="C60" s="26"/>
      <c r="D60" s="113">
        <f>SUM(D61:D64)</f>
        <v>280000</v>
      </c>
      <c r="E60" s="114"/>
      <c r="F60" s="115"/>
      <c r="G60" s="34">
        <f>SUM(G61:G64)</f>
        <v>299600</v>
      </c>
      <c r="H60" s="27"/>
      <c r="I60" s="26"/>
      <c r="J60" s="34">
        <f>SUM(J61:J64)</f>
        <v>320400</v>
      </c>
      <c r="K60" s="27"/>
      <c r="L60" s="26"/>
      <c r="M60" s="34">
        <f>SUM(M61:M64)</f>
        <v>342800</v>
      </c>
      <c r="N60" s="27"/>
    </row>
    <row r="61" spans="1:14" ht="75" x14ac:dyDescent="0.25">
      <c r="B61" s="25"/>
      <c r="C61" s="30" t="s">
        <v>64</v>
      </c>
      <c r="D61" s="116">
        <v>70000</v>
      </c>
      <c r="E61" s="117" t="s">
        <v>148</v>
      </c>
      <c r="F61" s="30" t="s">
        <v>64</v>
      </c>
      <c r="G61" s="2">
        <f>ROUND(D61*1.07/100,0)*100</f>
        <v>74900</v>
      </c>
      <c r="H61" s="117" t="s">
        <v>148</v>
      </c>
      <c r="I61" s="30" t="s">
        <v>64</v>
      </c>
      <c r="J61" s="2">
        <f>ROUND(G61*1.07/100,0)*100</f>
        <v>80100</v>
      </c>
      <c r="K61" s="117" t="s">
        <v>148</v>
      </c>
      <c r="L61" s="30" t="s">
        <v>64</v>
      </c>
      <c r="M61" s="2">
        <f>ROUND(J61*1.07/100,0)*100</f>
        <v>85700</v>
      </c>
      <c r="N61" s="117" t="s">
        <v>148</v>
      </c>
    </row>
    <row r="62" spans="1:14" ht="75" x14ac:dyDescent="0.25">
      <c r="B62" s="25"/>
      <c r="C62" s="30" t="s">
        <v>64</v>
      </c>
      <c r="D62" s="116">
        <v>70000</v>
      </c>
      <c r="E62" s="117" t="s">
        <v>149</v>
      </c>
      <c r="F62" s="30" t="s">
        <v>64</v>
      </c>
      <c r="G62" s="2">
        <f>ROUND(D62*1.07/100,0)*100</f>
        <v>74900</v>
      </c>
      <c r="H62" s="117" t="s">
        <v>149</v>
      </c>
      <c r="I62" s="30" t="s">
        <v>64</v>
      </c>
      <c r="J62" s="2">
        <f>ROUND(G62*1.07/100,0)*100</f>
        <v>80100</v>
      </c>
      <c r="K62" s="117" t="s">
        <v>149</v>
      </c>
      <c r="L62" s="30" t="s">
        <v>64</v>
      </c>
      <c r="M62" s="2">
        <f>ROUND(J62*1.07/100,0)*100</f>
        <v>85700</v>
      </c>
      <c r="N62" s="117" t="s">
        <v>149</v>
      </c>
    </row>
    <row r="63" spans="1:14" ht="60" x14ac:dyDescent="0.25">
      <c r="B63" s="25"/>
      <c r="C63" s="30" t="s">
        <v>64</v>
      </c>
      <c r="D63" s="116">
        <v>70000</v>
      </c>
      <c r="E63" s="117" t="s">
        <v>150</v>
      </c>
      <c r="F63" s="30" t="s">
        <v>64</v>
      </c>
      <c r="G63" s="2">
        <f>ROUND(D63*1.07/100,0)*100</f>
        <v>74900</v>
      </c>
      <c r="H63" s="117" t="s">
        <v>150</v>
      </c>
      <c r="I63" s="30" t="s">
        <v>64</v>
      </c>
      <c r="J63" s="2">
        <f>ROUND(G63*1.07/100,0)*100</f>
        <v>80100</v>
      </c>
      <c r="K63" s="117" t="s">
        <v>150</v>
      </c>
      <c r="L63" s="30" t="s">
        <v>64</v>
      </c>
      <c r="M63" s="2">
        <f>ROUND(J63*1.07/100,0)*100</f>
        <v>85700</v>
      </c>
      <c r="N63" s="117" t="s">
        <v>150</v>
      </c>
    </row>
    <row r="64" spans="1:14" ht="60" x14ac:dyDescent="0.25">
      <c r="B64" s="25"/>
      <c r="C64" s="30" t="s">
        <v>64</v>
      </c>
      <c r="D64" s="116">
        <v>70000</v>
      </c>
      <c r="E64" s="117" t="s">
        <v>150</v>
      </c>
      <c r="F64" s="30" t="s">
        <v>64</v>
      </c>
      <c r="G64" s="2">
        <f>ROUND(D64*1.07/100,0)*100</f>
        <v>74900</v>
      </c>
      <c r="H64" s="117" t="s">
        <v>150</v>
      </c>
      <c r="I64" s="30" t="s">
        <v>64</v>
      </c>
      <c r="J64" s="2">
        <f>ROUND(G64*1.07/100,0)*100</f>
        <v>80100</v>
      </c>
      <c r="K64" s="117" t="s">
        <v>150</v>
      </c>
      <c r="L64" s="30" t="s">
        <v>64</v>
      </c>
      <c r="M64" s="2">
        <f>ROUND(J64*1.07/100,0)*100</f>
        <v>85700</v>
      </c>
      <c r="N64" s="117" t="s">
        <v>150</v>
      </c>
    </row>
    <row r="65" spans="1:14" s="60" customFormat="1" x14ac:dyDescent="0.25">
      <c r="B65" s="24" t="s">
        <v>54</v>
      </c>
      <c r="C65" s="26"/>
      <c r="D65" s="113">
        <f>SUM(D66:D70)</f>
        <v>304000</v>
      </c>
      <c r="E65" s="114"/>
      <c r="F65" s="115"/>
      <c r="G65" s="34">
        <f>SUM(G66:G70)</f>
        <v>304000</v>
      </c>
      <c r="H65" s="27"/>
      <c r="I65" s="26"/>
      <c r="J65" s="34">
        <f>SUM(J66:J70)</f>
        <v>304000</v>
      </c>
      <c r="K65" s="27"/>
      <c r="L65" s="26"/>
      <c r="M65" s="34">
        <f>SUM(M66:M70)</f>
        <v>304000</v>
      </c>
      <c r="N65" s="27"/>
    </row>
    <row r="66" spans="1:14" ht="105" x14ac:dyDescent="0.25">
      <c r="B66" s="25"/>
      <c r="C66" s="30" t="s">
        <v>71</v>
      </c>
      <c r="D66" s="116">
        <f>64000-20000</f>
        <v>44000</v>
      </c>
      <c r="E66" s="117" t="s">
        <v>154</v>
      </c>
      <c r="F66" s="30" t="s">
        <v>71</v>
      </c>
      <c r="G66" s="116">
        <f>64000-20000</f>
        <v>44000</v>
      </c>
      <c r="H66" s="117" t="s">
        <v>154</v>
      </c>
      <c r="I66" s="30" t="s">
        <v>71</v>
      </c>
      <c r="J66" s="116">
        <f>64000-20000</f>
        <v>44000</v>
      </c>
      <c r="K66" s="117" t="s">
        <v>154</v>
      </c>
      <c r="L66" s="30" t="s">
        <v>71</v>
      </c>
      <c r="M66" s="116">
        <f>64000-20000</f>
        <v>44000</v>
      </c>
      <c r="N66" s="117" t="s">
        <v>154</v>
      </c>
    </row>
    <row r="67" spans="1:14" ht="90" x14ac:dyDescent="0.25">
      <c r="B67" s="25"/>
      <c r="C67" s="135" t="s">
        <v>155</v>
      </c>
      <c r="D67" s="136">
        <v>190000</v>
      </c>
      <c r="E67" s="137" t="s">
        <v>156</v>
      </c>
      <c r="F67" s="135" t="s">
        <v>155</v>
      </c>
      <c r="G67" s="136">
        <v>190000</v>
      </c>
      <c r="H67" s="137" t="s">
        <v>156</v>
      </c>
      <c r="I67" s="135" t="s">
        <v>155</v>
      </c>
      <c r="J67" s="136">
        <v>190000</v>
      </c>
      <c r="K67" s="137" t="s">
        <v>156</v>
      </c>
      <c r="L67" s="135" t="s">
        <v>155</v>
      </c>
      <c r="M67" s="136">
        <v>190000</v>
      </c>
      <c r="N67" s="137" t="s">
        <v>156</v>
      </c>
    </row>
    <row r="68" spans="1:14" ht="45" x14ac:dyDescent="0.25">
      <c r="B68" s="25"/>
      <c r="C68" s="135" t="s">
        <v>152</v>
      </c>
      <c r="D68" s="136">
        <v>40000</v>
      </c>
      <c r="E68" s="137" t="s">
        <v>160</v>
      </c>
      <c r="F68" s="135" t="s">
        <v>152</v>
      </c>
      <c r="G68" s="136">
        <v>40000</v>
      </c>
      <c r="H68" s="137" t="s">
        <v>160</v>
      </c>
      <c r="I68" s="135" t="s">
        <v>152</v>
      </c>
      <c r="J68" s="136">
        <v>40000</v>
      </c>
      <c r="K68" s="137" t="s">
        <v>160</v>
      </c>
      <c r="L68" s="135" t="s">
        <v>152</v>
      </c>
      <c r="M68" s="136">
        <v>40000</v>
      </c>
      <c r="N68" s="137" t="s">
        <v>160</v>
      </c>
    </row>
    <row r="69" spans="1:14" ht="45" x14ac:dyDescent="0.25">
      <c r="B69" s="25"/>
      <c r="C69" s="135" t="s">
        <v>118</v>
      </c>
      <c r="D69" s="136">
        <v>10000</v>
      </c>
      <c r="E69" s="137" t="s">
        <v>158</v>
      </c>
      <c r="F69" s="135" t="s">
        <v>118</v>
      </c>
      <c r="G69" s="136">
        <v>10000</v>
      </c>
      <c r="H69" s="137" t="s">
        <v>158</v>
      </c>
      <c r="I69" s="135" t="s">
        <v>118</v>
      </c>
      <c r="J69" s="136">
        <v>10000</v>
      </c>
      <c r="K69" s="137" t="s">
        <v>158</v>
      </c>
      <c r="L69" s="135" t="s">
        <v>118</v>
      </c>
      <c r="M69" s="136">
        <v>10000</v>
      </c>
      <c r="N69" s="137" t="s">
        <v>158</v>
      </c>
    </row>
    <row r="70" spans="1:14" ht="30.75" thickBot="1" x14ac:dyDescent="0.3">
      <c r="B70" s="25"/>
      <c r="C70" s="32" t="s">
        <v>151</v>
      </c>
      <c r="D70" s="118">
        <f>40000-20000</f>
        <v>20000</v>
      </c>
      <c r="E70" s="119" t="s">
        <v>159</v>
      </c>
      <c r="F70" s="32" t="s">
        <v>151</v>
      </c>
      <c r="G70" s="118">
        <f>40000-20000</f>
        <v>20000</v>
      </c>
      <c r="H70" s="119" t="s">
        <v>159</v>
      </c>
      <c r="I70" s="32" t="s">
        <v>151</v>
      </c>
      <c r="J70" s="118">
        <f>40000-20000</f>
        <v>20000</v>
      </c>
      <c r="K70" s="119" t="s">
        <v>159</v>
      </c>
      <c r="L70" s="32" t="s">
        <v>151</v>
      </c>
      <c r="M70" s="118">
        <f>40000-20000</f>
        <v>20000</v>
      </c>
      <c r="N70" s="119" t="s">
        <v>159</v>
      </c>
    </row>
    <row r="71" spans="1:14" s="83" customFormat="1" x14ac:dyDescent="0.25">
      <c r="D71" s="89"/>
      <c r="E71" s="89"/>
      <c r="F71" s="89"/>
    </row>
    <row r="72" spans="1:14" s="83" customFormat="1" ht="21" x14ac:dyDescent="0.25">
      <c r="A72" s="23" t="s">
        <v>32</v>
      </c>
      <c r="D72" s="89"/>
      <c r="E72" s="89"/>
      <c r="F72" s="89"/>
    </row>
    <row r="73" spans="1:14" s="83" customFormat="1" ht="18.75" x14ac:dyDescent="0.3">
      <c r="A73" s="6"/>
      <c r="B73"/>
      <c r="C73"/>
      <c r="D73" s="91"/>
      <c r="E73" s="91"/>
      <c r="F73" s="89"/>
    </row>
    <row r="74" spans="1:14" s="7" customFormat="1" ht="75" x14ac:dyDescent="0.35">
      <c r="A74" s="80"/>
      <c r="B74" s="68" t="s">
        <v>33</v>
      </c>
      <c r="C74" s="68" t="s">
        <v>34</v>
      </c>
      <c r="D74" s="68" t="s">
        <v>63</v>
      </c>
      <c r="E74" s="68" t="s">
        <v>35</v>
      </c>
      <c r="F74" s="68" t="s">
        <v>61</v>
      </c>
    </row>
    <row r="75" spans="1:14" s="83" customFormat="1" ht="165" x14ac:dyDescent="0.25">
      <c r="B75" s="85" t="s">
        <v>97</v>
      </c>
      <c r="C75" s="84">
        <v>1</v>
      </c>
      <c r="D75" s="85" t="s">
        <v>74</v>
      </c>
      <c r="E75" s="85" t="s">
        <v>98</v>
      </c>
      <c r="F75" s="85" t="s">
        <v>75</v>
      </c>
    </row>
    <row r="76" spans="1:14" s="83" customFormat="1" ht="225" x14ac:dyDescent="0.25">
      <c r="B76" s="85" t="s">
        <v>99</v>
      </c>
      <c r="C76" s="84">
        <v>1</v>
      </c>
      <c r="D76" s="85" t="s">
        <v>100</v>
      </c>
      <c r="E76" s="85" t="s">
        <v>101</v>
      </c>
      <c r="F76" s="85" t="s">
        <v>75</v>
      </c>
    </row>
    <row r="77" spans="1:14" s="83" customFormat="1" ht="86.65" customHeight="1" x14ac:dyDescent="0.25">
      <c r="B77" s="85" t="s">
        <v>102</v>
      </c>
      <c r="C77" s="84">
        <v>1</v>
      </c>
      <c r="D77" s="85" t="s">
        <v>103</v>
      </c>
      <c r="E77" s="85" t="s">
        <v>104</v>
      </c>
      <c r="F77" s="85" t="s">
        <v>75</v>
      </c>
    </row>
    <row r="78" spans="1:14" s="83" customFormat="1" x14ac:dyDescent="0.25">
      <c r="D78" s="89"/>
      <c r="E78" s="89"/>
      <c r="F78" s="89"/>
    </row>
    <row r="79" spans="1:14" s="83" customFormat="1" x14ac:dyDescent="0.25">
      <c r="D79" s="89"/>
      <c r="E79" s="89"/>
      <c r="F79" s="89"/>
    </row>
    <row r="80" spans="1:14" s="83" customFormat="1" x14ac:dyDescent="0.25">
      <c r="D80" s="89"/>
      <c r="E80" s="89"/>
      <c r="F80" s="89"/>
    </row>
    <row r="81" spans="4:6" s="83" customFormat="1" x14ac:dyDescent="0.25">
      <c r="D81" s="89"/>
      <c r="E81" s="89"/>
      <c r="F81" s="89"/>
    </row>
    <row r="82" spans="4:6" s="83" customFormat="1" x14ac:dyDescent="0.25">
      <c r="D82" s="89"/>
      <c r="E82" s="89"/>
      <c r="F82" s="89"/>
    </row>
    <row r="83" spans="4:6" s="83" customFormat="1" x14ac:dyDescent="0.25">
      <c r="D83" s="89"/>
      <c r="E83" s="89"/>
      <c r="F83" s="89"/>
    </row>
    <row r="84" spans="4:6" s="83" customFormat="1" x14ac:dyDescent="0.25">
      <c r="D84" s="89"/>
      <c r="E84" s="89"/>
      <c r="F84" s="89"/>
    </row>
    <row r="85" spans="4:6" s="83" customFormat="1" x14ac:dyDescent="0.25">
      <c r="D85" s="89"/>
      <c r="E85" s="89"/>
      <c r="F85" s="89"/>
    </row>
    <row r="86" spans="4:6" s="83" customFormat="1" x14ac:dyDescent="0.25">
      <c r="D86" s="89"/>
      <c r="E86" s="89"/>
      <c r="F86" s="89"/>
    </row>
    <row r="87" spans="4:6" s="83" customFormat="1" x14ac:dyDescent="0.25">
      <c r="D87" s="89"/>
      <c r="E87" s="89"/>
      <c r="F87" s="89"/>
    </row>
    <row r="88" spans="4:6" s="83" customFormat="1" x14ac:dyDescent="0.25">
      <c r="D88" s="89"/>
      <c r="E88" s="89"/>
      <c r="F88" s="89"/>
    </row>
    <row r="89" spans="4:6" s="83" customFormat="1" x14ac:dyDescent="0.25">
      <c r="D89" s="89"/>
      <c r="E89" s="89"/>
      <c r="F89" s="89"/>
    </row>
    <row r="90" spans="4:6" s="83" customFormat="1" x14ac:dyDescent="0.25">
      <c r="D90" s="89"/>
      <c r="E90" s="89"/>
      <c r="F90" s="89"/>
    </row>
    <row r="91" spans="4:6" s="83" customFormat="1" x14ac:dyDescent="0.25">
      <c r="D91" s="89"/>
      <c r="E91" s="89"/>
      <c r="F91" s="89"/>
    </row>
    <row r="92" spans="4:6" s="83" customFormat="1" x14ac:dyDescent="0.25">
      <c r="D92" s="89"/>
      <c r="E92" s="89"/>
      <c r="F92" s="89"/>
    </row>
    <row r="93" spans="4:6" s="83" customFormat="1" x14ac:dyDescent="0.25">
      <c r="D93" s="89"/>
      <c r="E93" s="89"/>
      <c r="F93" s="89"/>
    </row>
    <row r="94" spans="4:6" s="83" customFormat="1" x14ac:dyDescent="0.25">
      <c r="D94" s="89"/>
      <c r="E94" s="89"/>
      <c r="F94" s="89"/>
    </row>
    <row r="95" spans="4:6" s="83" customFormat="1" x14ac:dyDescent="0.25">
      <c r="D95" s="89"/>
      <c r="E95" s="89"/>
      <c r="F95" s="89"/>
    </row>
    <row r="96" spans="4:6" s="83" customFormat="1" x14ac:dyDescent="0.25">
      <c r="D96" s="89"/>
      <c r="E96" s="89"/>
      <c r="F96" s="89"/>
    </row>
    <row r="97" spans="4:6" s="83" customFormat="1" x14ac:dyDescent="0.25">
      <c r="D97" s="89"/>
      <c r="E97" s="89"/>
      <c r="F97" s="89"/>
    </row>
    <row r="98" spans="4:6" s="83" customFormat="1" x14ac:dyDescent="0.25">
      <c r="D98" s="89"/>
      <c r="E98" s="89"/>
      <c r="F98" s="89"/>
    </row>
    <row r="99" spans="4:6" s="83" customFormat="1" x14ac:dyDescent="0.25">
      <c r="D99" s="89"/>
      <c r="E99" s="89"/>
      <c r="F99" s="89"/>
    </row>
    <row r="100" spans="4:6" s="83" customFormat="1" x14ac:dyDescent="0.25">
      <c r="D100" s="89"/>
      <c r="E100" s="89"/>
      <c r="F100" s="89"/>
    </row>
    <row r="101" spans="4:6" s="83" customFormat="1" x14ac:dyDescent="0.25">
      <c r="D101" s="89"/>
      <c r="E101" s="89"/>
      <c r="F101" s="89"/>
    </row>
    <row r="102" spans="4:6" s="83" customFormat="1" x14ac:dyDescent="0.25">
      <c r="D102" s="89"/>
      <c r="E102" s="89"/>
      <c r="F102" s="89"/>
    </row>
    <row r="103" spans="4:6" s="83" customFormat="1" x14ac:dyDescent="0.25">
      <c r="D103" s="89"/>
      <c r="E103" s="89"/>
      <c r="F103" s="89"/>
    </row>
    <row r="104" spans="4:6" s="83" customFormat="1" x14ac:dyDescent="0.25">
      <c r="D104" s="89"/>
      <c r="E104" s="89"/>
      <c r="F104" s="89"/>
    </row>
    <row r="105" spans="4:6" s="83" customFormat="1" x14ac:dyDescent="0.25">
      <c r="D105" s="89"/>
      <c r="E105" s="89"/>
      <c r="F105" s="89"/>
    </row>
    <row r="106" spans="4:6" s="83" customFormat="1" x14ac:dyDescent="0.25">
      <c r="D106" s="89"/>
      <c r="E106" s="89"/>
      <c r="F106" s="89"/>
    </row>
    <row r="107" spans="4:6" s="83" customFormat="1" x14ac:dyDescent="0.25">
      <c r="D107" s="89"/>
      <c r="E107" s="89"/>
      <c r="F107" s="89"/>
    </row>
    <row r="108" spans="4:6" s="83" customFormat="1" x14ac:dyDescent="0.25">
      <c r="D108" s="89"/>
      <c r="E108" s="89"/>
      <c r="F108" s="89"/>
    </row>
    <row r="109" spans="4:6" s="83" customFormat="1" x14ac:dyDescent="0.25">
      <c r="D109" s="89"/>
      <c r="E109" s="89"/>
      <c r="F109" s="89"/>
    </row>
    <row r="110" spans="4:6" s="83" customFormat="1" x14ac:dyDescent="0.25">
      <c r="D110" s="89"/>
      <c r="E110" s="89"/>
      <c r="F110" s="89"/>
    </row>
    <row r="111" spans="4:6" s="83" customFormat="1" x14ac:dyDescent="0.25">
      <c r="D111" s="89"/>
      <c r="E111" s="89"/>
      <c r="F111" s="89"/>
    </row>
    <row r="112" spans="4:6" s="83" customFormat="1" x14ac:dyDescent="0.25">
      <c r="D112" s="89"/>
      <c r="E112" s="89"/>
      <c r="F112" s="89"/>
    </row>
    <row r="113" spans="4:6" s="83" customFormat="1" x14ac:dyDescent="0.25">
      <c r="D113" s="89"/>
      <c r="E113" s="89"/>
      <c r="F113" s="89"/>
    </row>
    <row r="114" spans="4:6" s="83" customFormat="1" x14ac:dyDescent="0.25">
      <c r="D114" s="89"/>
      <c r="E114" s="89"/>
      <c r="F114" s="89"/>
    </row>
    <row r="115" spans="4:6" s="83" customFormat="1" x14ac:dyDescent="0.25">
      <c r="D115" s="89"/>
      <c r="E115" s="89"/>
      <c r="F115" s="89"/>
    </row>
    <row r="116" spans="4:6" s="83" customFormat="1" x14ac:dyDescent="0.25">
      <c r="D116" s="89"/>
      <c r="E116" s="89"/>
      <c r="F116" s="89"/>
    </row>
    <row r="117" spans="4:6" s="83" customFormat="1" x14ac:dyDescent="0.25">
      <c r="D117" s="89"/>
      <c r="E117" s="89"/>
      <c r="F117" s="89"/>
    </row>
    <row r="118" spans="4:6" s="83" customFormat="1" x14ac:dyDescent="0.25">
      <c r="D118" s="89"/>
      <c r="E118" s="89"/>
      <c r="F118" s="89"/>
    </row>
    <row r="119" spans="4:6" s="83" customFormat="1" x14ac:dyDescent="0.25">
      <c r="D119" s="89"/>
      <c r="E119" s="89"/>
      <c r="F119" s="89"/>
    </row>
    <row r="120" spans="4:6" s="83" customFormat="1" x14ac:dyDescent="0.25">
      <c r="D120" s="89"/>
      <c r="E120" s="89"/>
      <c r="F120" s="89"/>
    </row>
    <row r="121" spans="4:6" s="83" customFormat="1" x14ac:dyDescent="0.25">
      <c r="D121" s="89"/>
      <c r="E121" s="89"/>
      <c r="F121" s="89"/>
    </row>
    <row r="122" spans="4:6" s="83" customFormat="1" x14ac:dyDescent="0.25">
      <c r="D122" s="89"/>
      <c r="E122" s="89"/>
      <c r="F122" s="89"/>
    </row>
    <row r="123" spans="4:6" s="83" customFormat="1" x14ac:dyDescent="0.25">
      <c r="D123" s="89"/>
      <c r="E123" s="89"/>
      <c r="F123" s="89"/>
    </row>
    <row r="124" spans="4:6" s="83" customFormat="1" x14ac:dyDescent="0.25">
      <c r="D124" s="89"/>
      <c r="E124" s="89"/>
      <c r="F124" s="89"/>
    </row>
    <row r="125" spans="4:6" s="83" customFormat="1" x14ac:dyDescent="0.25">
      <c r="D125" s="89"/>
      <c r="E125" s="89"/>
      <c r="F125" s="89"/>
    </row>
    <row r="126" spans="4:6" s="83" customFormat="1" x14ac:dyDescent="0.25">
      <c r="D126" s="89"/>
      <c r="E126" s="89"/>
      <c r="F126" s="89"/>
    </row>
    <row r="127" spans="4:6" s="83" customFormat="1" x14ac:dyDescent="0.25">
      <c r="D127" s="89"/>
      <c r="E127" s="89"/>
      <c r="F127" s="89"/>
    </row>
    <row r="128" spans="4:6" s="83" customFormat="1" x14ac:dyDescent="0.25">
      <c r="D128" s="89"/>
      <c r="E128" s="89"/>
      <c r="F128" s="89"/>
    </row>
    <row r="129" spans="4:6" s="83" customFormat="1" x14ac:dyDescent="0.25">
      <c r="D129" s="89"/>
      <c r="E129" s="89"/>
      <c r="F129" s="89"/>
    </row>
    <row r="130" spans="4:6" s="83" customFormat="1" x14ac:dyDescent="0.25">
      <c r="D130" s="89"/>
      <c r="E130" s="89"/>
      <c r="F130" s="89"/>
    </row>
    <row r="131" spans="4:6" s="83" customFormat="1" x14ac:dyDescent="0.25">
      <c r="D131" s="89"/>
      <c r="E131" s="89"/>
      <c r="F131" s="89"/>
    </row>
    <row r="132" spans="4:6" s="83" customFormat="1" x14ac:dyDescent="0.25">
      <c r="D132" s="89"/>
      <c r="E132" s="89"/>
      <c r="F132" s="89"/>
    </row>
    <row r="133" spans="4:6" s="83" customFormat="1" x14ac:dyDescent="0.25">
      <c r="D133" s="89"/>
      <c r="E133" s="89"/>
      <c r="F133" s="89"/>
    </row>
    <row r="134" spans="4:6" s="83" customFormat="1" x14ac:dyDescent="0.25">
      <c r="D134" s="89"/>
      <c r="E134" s="89"/>
      <c r="F134" s="89"/>
    </row>
    <row r="135" spans="4:6" s="83" customFormat="1" x14ac:dyDescent="0.25">
      <c r="D135" s="89"/>
      <c r="E135" s="89"/>
      <c r="F135" s="89"/>
    </row>
    <row r="136" spans="4:6" s="83" customFormat="1" x14ac:dyDescent="0.25">
      <c r="D136" s="89"/>
      <c r="E136" s="89"/>
      <c r="F136" s="89"/>
    </row>
    <row r="137" spans="4:6" s="83" customFormat="1" x14ac:dyDescent="0.25">
      <c r="D137" s="89"/>
      <c r="E137" s="89"/>
      <c r="F137" s="89"/>
    </row>
    <row r="138" spans="4:6" s="83" customFormat="1" x14ac:dyDescent="0.25">
      <c r="D138" s="89"/>
      <c r="E138" s="89"/>
      <c r="F138" s="89"/>
    </row>
    <row r="139" spans="4:6" s="83" customFormat="1" x14ac:dyDescent="0.25">
      <c r="D139" s="89"/>
      <c r="E139" s="89"/>
      <c r="F139" s="89"/>
    </row>
    <row r="140" spans="4:6" s="83" customFormat="1" x14ac:dyDescent="0.25">
      <c r="D140" s="89"/>
      <c r="E140" s="89"/>
      <c r="F140" s="89"/>
    </row>
    <row r="141" spans="4:6" s="83" customFormat="1" x14ac:dyDescent="0.25">
      <c r="D141" s="89"/>
      <c r="E141" s="89"/>
      <c r="F141" s="89"/>
    </row>
    <row r="142" spans="4:6" s="83" customFormat="1" x14ac:dyDescent="0.25">
      <c r="D142" s="89"/>
      <c r="E142" s="89"/>
      <c r="F142" s="89"/>
    </row>
    <row r="143" spans="4:6" s="83" customFormat="1" x14ac:dyDescent="0.25">
      <c r="D143" s="89"/>
      <c r="E143" s="89"/>
      <c r="F143" s="89"/>
    </row>
    <row r="144" spans="4:6" s="83" customFormat="1" x14ac:dyDescent="0.25">
      <c r="D144" s="89"/>
      <c r="E144" s="89"/>
      <c r="F144" s="89"/>
    </row>
    <row r="145" spans="4:6" s="83" customFormat="1" x14ac:dyDescent="0.25">
      <c r="D145" s="89"/>
      <c r="E145" s="89"/>
      <c r="F145" s="89"/>
    </row>
    <row r="146" spans="4:6" s="83" customFormat="1" x14ac:dyDescent="0.25">
      <c r="D146" s="89"/>
      <c r="E146" s="89"/>
      <c r="F146" s="89"/>
    </row>
    <row r="147" spans="4:6" s="83" customFormat="1" x14ac:dyDescent="0.25">
      <c r="D147" s="89"/>
      <c r="E147" s="89"/>
      <c r="F147" s="89"/>
    </row>
    <row r="148" spans="4:6" s="83" customFormat="1" x14ac:dyDescent="0.25">
      <c r="D148" s="89"/>
      <c r="E148" s="89"/>
      <c r="F148" s="89"/>
    </row>
    <row r="149" spans="4:6" s="83" customFormat="1" x14ac:dyDescent="0.25">
      <c r="D149" s="89"/>
      <c r="E149" s="89"/>
      <c r="F149" s="89"/>
    </row>
    <row r="150" spans="4:6" s="83" customFormat="1" x14ac:dyDescent="0.25">
      <c r="D150" s="89"/>
      <c r="E150" s="89"/>
      <c r="F150" s="89"/>
    </row>
    <row r="151" spans="4:6" s="83" customFormat="1" x14ac:dyDescent="0.25">
      <c r="D151" s="89"/>
      <c r="E151" s="89"/>
      <c r="F151" s="89"/>
    </row>
    <row r="152" spans="4:6" s="83" customFormat="1" x14ac:dyDescent="0.25">
      <c r="D152" s="89"/>
      <c r="E152" s="89"/>
      <c r="F152" s="89"/>
    </row>
    <row r="153" spans="4:6" s="83" customFormat="1" x14ac:dyDescent="0.25">
      <c r="D153" s="89"/>
      <c r="E153" s="89"/>
      <c r="F153" s="89"/>
    </row>
    <row r="154" spans="4:6" s="83" customFormat="1" x14ac:dyDescent="0.25">
      <c r="D154" s="89"/>
      <c r="E154" s="89"/>
      <c r="F154" s="89"/>
    </row>
    <row r="155" spans="4:6" s="83" customFormat="1" x14ac:dyDescent="0.25">
      <c r="D155" s="89"/>
      <c r="E155" s="89"/>
      <c r="F155" s="89"/>
    </row>
    <row r="156" spans="4:6" s="83" customFormat="1" x14ac:dyDescent="0.25">
      <c r="D156" s="89"/>
      <c r="E156" s="89"/>
      <c r="F156" s="89"/>
    </row>
    <row r="157" spans="4:6" s="83" customFormat="1" x14ac:dyDescent="0.25">
      <c r="D157" s="89"/>
      <c r="E157" s="89"/>
      <c r="F157" s="89"/>
    </row>
    <row r="158" spans="4:6" s="83" customFormat="1" x14ac:dyDescent="0.25">
      <c r="D158" s="89"/>
      <c r="E158" s="89"/>
      <c r="F158" s="89"/>
    </row>
    <row r="159" spans="4:6" s="83" customFormat="1" x14ac:dyDescent="0.25">
      <c r="D159" s="89"/>
      <c r="E159" s="89"/>
      <c r="F159" s="89"/>
    </row>
    <row r="160" spans="4:6" s="83" customFormat="1" x14ac:dyDescent="0.25">
      <c r="D160" s="89"/>
      <c r="E160" s="89"/>
      <c r="F160" s="89"/>
    </row>
    <row r="161" spans="4:6" s="83" customFormat="1" x14ac:dyDescent="0.25">
      <c r="D161" s="89"/>
      <c r="E161" s="89"/>
      <c r="F161" s="89"/>
    </row>
    <row r="162" spans="4:6" s="83" customFormat="1" x14ac:dyDescent="0.25">
      <c r="D162" s="89"/>
      <c r="E162" s="89"/>
      <c r="F162" s="89"/>
    </row>
    <row r="163" spans="4:6" s="83" customFormat="1" x14ac:dyDescent="0.25">
      <c r="D163" s="89"/>
      <c r="E163" s="89"/>
      <c r="F163" s="89"/>
    </row>
    <row r="164" spans="4:6" s="83" customFormat="1" x14ac:dyDescent="0.25">
      <c r="D164" s="89"/>
      <c r="E164" s="89"/>
      <c r="F164" s="89"/>
    </row>
    <row r="165" spans="4:6" s="83" customFormat="1" x14ac:dyDescent="0.25">
      <c r="D165" s="89"/>
      <c r="E165" s="89"/>
      <c r="F165" s="89"/>
    </row>
    <row r="166" spans="4:6" s="83" customFormat="1" x14ac:dyDescent="0.25">
      <c r="D166" s="89"/>
      <c r="E166" s="89"/>
      <c r="F166" s="89"/>
    </row>
    <row r="167" spans="4:6" s="83" customFormat="1" x14ac:dyDescent="0.25">
      <c r="D167" s="89"/>
      <c r="E167" s="89"/>
      <c r="F167" s="89"/>
    </row>
    <row r="168" spans="4:6" s="83" customFormat="1" x14ac:dyDescent="0.25">
      <c r="D168" s="89"/>
      <c r="E168" s="89"/>
      <c r="F168" s="89"/>
    </row>
    <row r="169" spans="4:6" s="83" customFormat="1" x14ac:dyDescent="0.25">
      <c r="D169" s="89"/>
      <c r="E169" s="89"/>
      <c r="F169" s="89"/>
    </row>
    <row r="170" spans="4:6" s="83" customFormat="1" x14ac:dyDescent="0.25">
      <c r="D170" s="89"/>
      <c r="E170" s="89"/>
      <c r="F170" s="89"/>
    </row>
    <row r="171" spans="4:6" s="83" customFormat="1" x14ac:dyDescent="0.25">
      <c r="D171" s="89"/>
      <c r="E171" s="89"/>
      <c r="F171" s="89"/>
    </row>
    <row r="172" spans="4:6" s="83" customFormat="1" x14ac:dyDescent="0.25">
      <c r="D172" s="89"/>
      <c r="E172" s="89"/>
      <c r="F172" s="89"/>
    </row>
    <row r="173" spans="4:6" s="83" customFormat="1" x14ac:dyDescent="0.25">
      <c r="D173" s="89"/>
      <c r="E173" s="89"/>
      <c r="F173" s="89"/>
    </row>
    <row r="174" spans="4:6" s="83" customFormat="1" x14ac:dyDescent="0.25">
      <c r="D174" s="89"/>
      <c r="E174" s="89"/>
      <c r="F174" s="89"/>
    </row>
    <row r="175" spans="4:6" s="83" customFormat="1" x14ac:dyDescent="0.25">
      <c r="D175" s="89"/>
      <c r="E175" s="89"/>
      <c r="F175" s="89"/>
    </row>
    <row r="176" spans="4:6" s="83" customFormat="1" x14ac:dyDescent="0.25">
      <c r="D176" s="89"/>
      <c r="E176" s="89"/>
      <c r="F176" s="89"/>
    </row>
    <row r="177" spans="4:6" s="83" customFormat="1" x14ac:dyDescent="0.25">
      <c r="D177" s="89"/>
      <c r="E177" s="89"/>
      <c r="F177" s="89"/>
    </row>
    <row r="178" spans="4:6" s="83" customFormat="1" x14ac:dyDescent="0.25">
      <c r="D178" s="89"/>
      <c r="E178" s="89"/>
      <c r="F178" s="89"/>
    </row>
    <row r="179" spans="4:6" s="83" customFormat="1" x14ac:dyDescent="0.25">
      <c r="D179" s="89"/>
      <c r="E179" s="89"/>
      <c r="F179" s="89"/>
    </row>
    <row r="180" spans="4:6" s="83" customFormat="1" x14ac:dyDescent="0.25">
      <c r="D180" s="89"/>
      <c r="E180" s="89"/>
      <c r="F180" s="89"/>
    </row>
    <row r="181" spans="4:6" s="83" customFormat="1" x14ac:dyDescent="0.25">
      <c r="D181" s="89"/>
      <c r="E181" s="89"/>
      <c r="F181" s="89"/>
    </row>
    <row r="182" spans="4:6" s="83" customFormat="1" x14ac:dyDescent="0.25">
      <c r="D182" s="89"/>
      <c r="E182" s="89"/>
      <c r="F182" s="89"/>
    </row>
    <row r="183" spans="4:6" s="83" customFormat="1" x14ac:dyDescent="0.25">
      <c r="D183" s="89"/>
      <c r="E183" s="89"/>
      <c r="F183" s="89"/>
    </row>
    <row r="184" spans="4:6" s="83" customFormat="1" x14ac:dyDescent="0.25">
      <c r="D184" s="89"/>
      <c r="E184" s="89"/>
      <c r="F184" s="89"/>
    </row>
    <row r="185" spans="4:6" s="83" customFormat="1" x14ac:dyDescent="0.25">
      <c r="D185" s="89"/>
      <c r="E185" s="89"/>
      <c r="F185" s="89"/>
    </row>
    <row r="186" spans="4:6" s="83" customFormat="1" x14ac:dyDescent="0.25">
      <c r="D186" s="89"/>
      <c r="E186" s="89"/>
      <c r="F186" s="89"/>
    </row>
    <row r="187" spans="4:6" s="83" customFormat="1" x14ac:dyDescent="0.25">
      <c r="D187" s="89"/>
      <c r="E187" s="89"/>
      <c r="F187" s="89"/>
    </row>
    <row r="188" spans="4:6" s="83" customFormat="1" x14ac:dyDescent="0.25">
      <c r="D188" s="89"/>
      <c r="E188" s="89"/>
      <c r="F188" s="89"/>
    </row>
    <row r="189" spans="4:6" s="83" customFormat="1" x14ac:dyDescent="0.25">
      <c r="D189" s="89"/>
      <c r="E189" s="89"/>
      <c r="F189" s="89"/>
    </row>
    <row r="190" spans="4:6" s="83" customFormat="1" x14ac:dyDescent="0.25">
      <c r="D190" s="89"/>
      <c r="E190" s="89"/>
      <c r="F190" s="89"/>
    </row>
    <row r="191" spans="4:6" s="83" customFormat="1" x14ac:dyDescent="0.25">
      <c r="D191" s="89"/>
      <c r="E191" s="89"/>
      <c r="F191" s="89"/>
    </row>
    <row r="192" spans="4:6" s="83" customFormat="1" x14ac:dyDescent="0.25">
      <c r="D192" s="89"/>
      <c r="E192" s="89"/>
      <c r="F192" s="89"/>
    </row>
    <row r="193" spans="4:6" s="83" customFormat="1" x14ac:dyDescent="0.25">
      <c r="D193" s="89"/>
      <c r="E193" s="89"/>
      <c r="F193" s="89"/>
    </row>
    <row r="194" spans="4:6" s="83" customFormat="1" x14ac:dyDescent="0.25">
      <c r="D194" s="89"/>
      <c r="E194" s="89"/>
      <c r="F194" s="89"/>
    </row>
    <row r="195" spans="4:6" s="83" customFormat="1" x14ac:dyDescent="0.25">
      <c r="D195" s="89"/>
      <c r="E195" s="89"/>
      <c r="F195" s="89"/>
    </row>
    <row r="196" spans="4:6" s="83" customFormat="1" x14ac:dyDescent="0.25">
      <c r="D196" s="89"/>
      <c r="E196" s="89"/>
      <c r="F196" s="89"/>
    </row>
    <row r="197" spans="4:6" s="83" customFormat="1" x14ac:dyDescent="0.25">
      <c r="D197" s="89"/>
      <c r="E197" s="89"/>
      <c r="F197" s="89"/>
    </row>
    <row r="198" spans="4:6" s="83" customFormat="1" x14ac:dyDescent="0.25">
      <c r="D198" s="89"/>
      <c r="E198" s="89"/>
      <c r="F198" s="89"/>
    </row>
    <row r="199" spans="4:6" s="83" customFormat="1" x14ac:dyDescent="0.25">
      <c r="D199" s="89"/>
      <c r="E199" s="89"/>
      <c r="F199" s="89"/>
    </row>
    <row r="200" spans="4:6" s="83" customFormat="1" x14ac:dyDescent="0.25">
      <c r="D200" s="89"/>
      <c r="E200" s="89"/>
      <c r="F200" s="89"/>
    </row>
    <row r="201" spans="4:6" s="83" customFormat="1" x14ac:dyDescent="0.25">
      <c r="D201" s="89"/>
      <c r="E201" s="89"/>
      <c r="F201" s="89"/>
    </row>
    <row r="202" spans="4:6" s="83" customFormat="1" x14ac:dyDescent="0.25">
      <c r="D202" s="89"/>
      <c r="E202" s="89"/>
      <c r="F202" s="89"/>
    </row>
    <row r="203" spans="4:6" s="83" customFormat="1" x14ac:dyDescent="0.25">
      <c r="D203" s="89"/>
      <c r="E203" s="89"/>
      <c r="F203" s="89"/>
    </row>
    <row r="204" spans="4:6" s="83" customFormat="1" x14ac:dyDescent="0.25">
      <c r="D204" s="89"/>
      <c r="E204" s="89"/>
      <c r="F204" s="89"/>
    </row>
    <row r="205" spans="4:6" s="83" customFormat="1" x14ac:dyDescent="0.25">
      <c r="D205" s="89"/>
      <c r="E205" s="89"/>
      <c r="F205" s="89"/>
    </row>
    <row r="206" spans="4:6" s="83" customFormat="1" x14ac:dyDescent="0.25">
      <c r="D206" s="89"/>
      <c r="E206" s="89"/>
      <c r="F206" s="89"/>
    </row>
    <row r="207" spans="4:6" s="83" customFormat="1" x14ac:dyDescent="0.25">
      <c r="D207" s="89"/>
      <c r="E207" s="89"/>
      <c r="F207" s="89"/>
    </row>
    <row r="208" spans="4:6" s="83" customFormat="1" x14ac:dyDescent="0.25">
      <c r="D208" s="89"/>
      <c r="E208" s="89"/>
      <c r="F208" s="89"/>
    </row>
    <row r="209" spans="4:6" s="83" customFormat="1" x14ac:dyDescent="0.25">
      <c r="D209" s="89"/>
      <c r="E209" s="89"/>
      <c r="F209" s="89"/>
    </row>
    <row r="210" spans="4:6" s="83" customFormat="1" x14ac:dyDescent="0.25">
      <c r="D210" s="89"/>
      <c r="E210" s="89"/>
      <c r="F210" s="89"/>
    </row>
    <row r="211" spans="4:6" s="83" customFormat="1" x14ac:dyDescent="0.25">
      <c r="D211" s="89"/>
      <c r="E211" s="89"/>
      <c r="F211" s="89"/>
    </row>
    <row r="212" spans="4:6" s="83" customFormat="1" x14ac:dyDescent="0.25">
      <c r="D212" s="89"/>
      <c r="E212" s="89"/>
      <c r="F212" s="89"/>
    </row>
    <row r="213" spans="4:6" s="83" customFormat="1" x14ac:dyDescent="0.25">
      <c r="D213" s="89"/>
      <c r="E213" s="89"/>
      <c r="F213" s="89"/>
    </row>
    <row r="214" spans="4:6" s="83" customFormat="1" x14ac:dyDescent="0.25">
      <c r="D214" s="89"/>
      <c r="E214" s="89"/>
      <c r="F214" s="89"/>
    </row>
    <row r="215" spans="4:6" s="83" customFormat="1" x14ac:dyDescent="0.25">
      <c r="D215" s="89"/>
      <c r="E215" s="89"/>
      <c r="F215" s="89"/>
    </row>
    <row r="216" spans="4:6" s="83" customFormat="1" x14ac:dyDescent="0.25">
      <c r="D216" s="89"/>
      <c r="E216" s="89"/>
      <c r="F216" s="89"/>
    </row>
    <row r="217" spans="4:6" s="83" customFormat="1" x14ac:dyDescent="0.25">
      <c r="D217" s="89"/>
      <c r="E217" s="89"/>
      <c r="F217" s="89"/>
    </row>
    <row r="218" spans="4:6" s="83" customFormat="1" x14ac:dyDescent="0.25">
      <c r="D218" s="89"/>
      <c r="E218" s="89"/>
      <c r="F218" s="89"/>
    </row>
    <row r="219" spans="4:6" s="83" customFormat="1" x14ac:dyDescent="0.25">
      <c r="D219" s="89"/>
      <c r="E219" s="89"/>
      <c r="F219" s="89"/>
    </row>
    <row r="220" spans="4:6" s="83" customFormat="1" x14ac:dyDescent="0.25">
      <c r="D220" s="89"/>
      <c r="E220" s="89"/>
      <c r="F220" s="89"/>
    </row>
    <row r="221" spans="4:6" s="83" customFormat="1" x14ac:dyDescent="0.25">
      <c r="D221" s="89"/>
      <c r="E221" s="89"/>
      <c r="F221" s="89"/>
    </row>
    <row r="222" spans="4:6" s="83" customFormat="1" x14ac:dyDescent="0.25">
      <c r="D222" s="89"/>
      <c r="E222" s="89"/>
      <c r="F222" s="89"/>
    </row>
    <row r="223" spans="4:6" s="83" customFormat="1" x14ac:dyDescent="0.25">
      <c r="D223" s="89"/>
      <c r="E223" s="89"/>
      <c r="F223" s="89"/>
    </row>
    <row r="224" spans="4:6" s="83" customFormat="1" x14ac:dyDescent="0.25">
      <c r="D224" s="89"/>
      <c r="E224" s="89"/>
      <c r="F224" s="89"/>
    </row>
    <row r="225" spans="4:6" s="83" customFormat="1" x14ac:dyDescent="0.25">
      <c r="D225" s="89"/>
      <c r="E225" s="89"/>
      <c r="F225" s="89"/>
    </row>
    <row r="226" spans="4:6" s="83" customFormat="1" x14ac:dyDescent="0.25">
      <c r="D226" s="89"/>
      <c r="E226" s="89"/>
      <c r="F226" s="89"/>
    </row>
    <row r="227" spans="4:6" s="83" customFormat="1" x14ac:dyDescent="0.25">
      <c r="D227" s="89"/>
      <c r="E227" s="89"/>
      <c r="F227" s="89"/>
    </row>
    <row r="228" spans="4:6" s="83" customFormat="1" x14ac:dyDescent="0.25">
      <c r="D228" s="89"/>
      <c r="E228" s="89"/>
      <c r="F228" s="89"/>
    </row>
    <row r="229" spans="4:6" s="83" customFormat="1" x14ac:dyDescent="0.25">
      <c r="D229" s="89"/>
      <c r="E229" s="89"/>
      <c r="F229" s="89"/>
    </row>
    <row r="230" spans="4:6" s="83" customFormat="1" x14ac:dyDescent="0.25">
      <c r="D230" s="89"/>
      <c r="E230" s="89"/>
      <c r="F230" s="89"/>
    </row>
    <row r="231" spans="4:6" s="83" customFormat="1" x14ac:dyDescent="0.25">
      <c r="D231" s="89"/>
      <c r="E231" s="89"/>
      <c r="F231" s="89"/>
    </row>
  </sheetData>
  <customSheetViews>
    <customSheetView guid="{B6CE57D0-3B00-4AA5-8045-5810B3AC38EF}" topLeftCell="A13">
      <selection activeCell="M66" sqref="M66"/>
      <pageMargins left="0.7" right="0.7" top="0.75" bottom="0.75" header="0.3" footer="0.3"/>
      <pageSetup paperSize="9" orientation="portrait" r:id="rId1"/>
    </customSheetView>
    <customSheetView guid="{C5B98205-32EA-4978-BDE9-09FE8244BB3C}" topLeftCell="A33">
      <selection activeCell="C42" sqref="C42"/>
      <pageMargins left="0.7" right="0.7" top="0.75" bottom="0.75" header="0.3" footer="0.3"/>
      <pageSetup paperSize="9" orientation="portrait" r:id="rId2"/>
    </customSheetView>
    <customSheetView guid="{10B7B1F1-9BAA-4B0F-A300-C1E3D2D5095B}" topLeftCell="A52">
      <selection activeCell="B60" sqref="B60"/>
      <pageMargins left="0.7" right="0.7" top="0.75" bottom="0.75" header="0.3" footer="0.3"/>
      <pageSetup paperSize="9" orientation="portrait" r:id="rId3"/>
    </customSheetView>
    <customSheetView guid="{A0472B5E-ED4B-42A6-A051-1D638E3EAB28}" topLeftCell="A41">
      <selection activeCell="B26" sqref="B26"/>
      <pageMargins left="0.7" right="0.7" top="0.75" bottom="0.75" header="0.3" footer="0.3"/>
      <pageSetup paperSize="9" orientation="portrait" r:id="rId4"/>
    </customSheetView>
  </customSheetViews>
  <mergeCells count="6">
    <mergeCell ref="B43:F43"/>
    <mergeCell ref="B11:I11"/>
    <mergeCell ref="B6:C6"/>
    <mergeCell ref="B7:C7"/>
    <mergeCell ref="B8:C8"/>
    <mergeCell ref="B22:I22"/>
  </mergeCells>
  <pageMargins left="0.7" right="0.7" top="0.75" bottom="0.75" header="0.3" footer="0.3"/>
  <pageSetup paperSize="9" orientation="portrait" r:id="rId5"/>
  <customProperties>
    <customPr name="EpmWorksheetKeyString_GU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36"/>
  <sheetViews>
    <sheetView workbookViewId="0">
      <selection activeCell="I32" sqref="I32:I33"/>
    </sheetView>
  </sheetViews>
  <sheetFormatPr defaultRowHeight="15" x14ac:dyDescent="0.25"/>
  <cols>
    <col min="1" max="1" width="13.85546875" customWidth="1"/>
    <col min="2" max="2" width="21.140625" customWidth="1"/>
    <col min="3" max="3" width="21.7109375" customWidth="1"/>
    <col min="4" max="4" width="15.5703125" customWidth="1"/>
    <col min="5" max="6" width="13.7109375" customWidth="1"/>
    <col min="7" max="7" width="12.85546875" customWidth="1"/>
    <col min="8" max="8" width="14.42578125" customWidth="1"/>
    <col min="9" max="9" width="19.85546875" customWidth="1"/>
    <col min="10" max="14" width="13.7109375" customWidth="1"/>
    <col min="15" max="25" width="11.85546875" customWidth="1"/>
    <col min="26" max="28" width="29.85546875" customWidth="1"/>
  </cols>
  <sheetData>
    <row r="1" spans="1:12" ht="23.25" x14ac:dyDescent="0.35">
      <c r="A1" s="12" t="s">
        <v>39</v>
      </c>
      <c r="B1" s="12"/>
      <c r="C1" s="77" t="s">
        <v>279</v>
      </c>
      <c r="G1" s="74"/>
    </row>
    <row r="2" spans="1:12" ht="23.25" x14ac:dyDescent="0.35">
      <c r="A2" s="56" t="s">
        <v>40</v>
      </c>
      <c r="B2" s="12"/>
      <c r="C2" s="62">
        <f>SUM(D55+G55+J55+M55)</f>
        <v>5147312</v>
      </c>
      <c r="G2" s="74"/>
    </row>
    <row r="4" spans="1:12" s="13" customFormat="1" ht="21" x14ac:dyDescent="0.35">
      <c r="A4" s="13" t="s">
        <v>42</v>
      </c>
    </row>
    <row r="5" spans="1:12" ht="24" thickBot="1" x14ac:dyDescent="0.4">
      <c r="A5" s="77" t="s">
        <v>138</v>
      </c>
      <c r="D5" s="3"/>
    </row>
    <row r="6" spans="1:12" ht="16.5" customHeight="1" x14ac:dyDescent="0.25">
      <c r="B6" s="251" t="s">
        <v>7</v>
      </c>
      <c r="C6" s="252"/>
      <c r="D6" s="66">
        <f>H14</f>
        <v>1055165</v>
      </c>
    </row>
    <row r="7" spans="1:12" ht="16.5" customHeight="1" x14ac:dyDescent="0.25">
      <c r="B7" s="253" t="s">
        <v>8</v>
      </c>
      <c r="C7" s="254"/>
      <c r="D7" s="67">
        <f>H25</f>
        <v>6252477</v>
      </c>
    </row>
    <row r="8" spans="1:12" ht="16.5" customHeight="1" thickBot="1" x14ac:dyDescent="0.3">
      <c r="B8" s="255" t="s">
        <v>9</v>
      </c>
      <c r="C8" s="256"/>
      <c r="D8" s="73">
        <f>D6-D7</f>
        <v>-5197312</v>
      </c>
    </row>
    <row r="9" spans="1:12" ht="16.5" customHeight="1" x14ac:dyDescent="0.25">
      <c r="B9" s="76"/>
      <c r="C9" s="76"/>
    </row>
    <row r="10" spans="1:12" ht="16.5" customHeight="1" x14ac:dyDescent="0.25">
      <c r="A10" s="75"/>
    </row>
    <row r="11" spans="1:12" ht="16.5" customHeight="1" x14ac:dyDescent="0.25">
      <c r="B11" s="257" t="s">
        <v>58</v>
      </c>
      <c r="C11" s="258"/>
      <c r="D11" s="258"/>
      <c r="E11" s="258"/>
      <c r="F11" s="258"/>
      <c r="G11" s="258"/>
      <c r="H11" s="258"/>
      <c r="I11" s="258"/>
    </row>
    <row r="12" spans="1:12" ht="16.5" customHeight="1" thickBot="1" x14ac:dyDescent="0.3">
      <c r="B12" s="4"/>
      <c r="C12" s="4"/>
    </row>
    <row r="13" spans="1:12" s="159" customFormat="1" ht="67.5" customHeight="1" thickBot="1" x14ac:dyDescent="0.4">
      <c r="A13" s="79"/>
      <c r="B13" s="55" t="s">
        <v>38</v>
      </c>
      <c r="C13" s="18">
        <v>2022</v>
      </c>
      <c r="D13" s="18">
        <v>2023</v>
      </c>
      <c r="E13" s="18">
        <v>2024</v>
      </c>
      <c r="F13" s="18">
        <v>2025</v>
      </c>
      <c r="G13" s="18">
        <v>2026</v>
      </c>
      <c r="H13" s="44" t="s">
        <v>10</v>
      </c>
      <c r="I13" s="47" t="s">
        <v>36</v>
      </c>
      <c r="J13" s="40"/>
      <c r="K13" s="41"/>
      <c r="L13" s="41"/>
    </row>
    <row r="14" spans="1:12" s="159" customFormat="1" ht="16.5" customHeight="1" x14ac:dyDescent="0.25">
      <c r="B14" s="48" t="s">
        <v>6</v>
      </c>
      <c r="C14" s="49">
        <f t="shared" ref="C14:H14" si="0">SUM(C15+C17)</f>
        <v>211033</v>
      </c>
      <c r="D14" s="49">
        <f t="shared" si="0"/>
        <v>211033</v>
      </c>
      <c r="E14" s="49">
        <f t="shared" si="0"/>
        <v>211033</v>
      </c>
      <c r="F14" s="49">
        <f t="shared" si="0"/>
        <v>211033</v>
      </c>
      <c r="G14" s="49">
        <f t="shared" si="0"/>
        <v>211033</v>
      </c>
      <c r="H14" s="65">
        <f t="shared" si="0"/>
        <v>1055165</v>
      </c>
      <c r="I14" s="50"/>
      <c r="J14" s="42"/>
      <c r="K14" s="75"/>
      <c r="L14" s="43"/>
    </row>
    <row r="15" spans="1:12" s="159" customFormat="1" ht="16.5" customHeight="1" x14ac:dyDescent="0.25">
      <c r="B15" s="45" t="s">
        <v>44</v>
      </c>
      <c r="C15" s="46">
        <f t="shared" ref="C15:H15" si="1">SUM(C16:C16)</f>
        <v>0</v>
      </c>
      <c r="D15" s="46">
        <f t="shared" si="1"/>
        <v>0</v>
      </c>
      <c r="E15" s="46">
        <f t="shared" si="1"/>
        <v>0</v>
      </c>
      <c r="F15" s="46">
        <f t="shared" si="1"/>
        <v>0</v>
      </c>
      <c r="G15" s="46">
        <f t="shared" si="1"/>
        <v>0</v>
      </c>
      <c r="H15" s="46">
        <f t="shared" si="1"/>
        <v>0</v>
      </c>
      <c r="I15" s="16"/>
      <c r="J15" s="42"/>
      <c r="K15" s="43"/>
      <c r="L15" s="43"/>
    </row>
    <row r="16" spans="1:12" s="159" customFormat="1" ht="16.5" customHeight="1" x14ac:dyDescent="0.25">
      <c r="B16" s="9"/>
      <c r="C16" s="15"/>
      <c r="D16" s="15"/>
      <c r="E16" s="15"/>
      <c r="F16" s="15"/>
      <c r="G16" s="15"/>
      <c r="H16" s="37">
        <f t="shared" ref="H16:H20" si="2">SUM(C16:G16)</f>
        <v>0</v>
      </c>
      <c r="I16" s="16"/>
      <c r="J16" s="42"/>
      <c r="K16" s="43"/>
      <c r="L16" s="43"/>
    </row>
    <row r="17" spans="1:12" s="159" customFormat="1" ht="16.5" customHeight="1" x14ac:dyDescent="0.25">
      <c r="B17" s="45" t="s">
        <v>45</v>
      </c>
      <c r="C17" s="46">
        <f t="shared" ref="C17:H17" si="3">SUM(C18:C20)</f>
        <v>211033</v>
      </c>
      <c r="D17" s="46">
        <f t="shared" si="3"/>
        <v>211033</v>
      </c>
      <c r="E17" s="46">
        <f t="shared" si="3"/>
        <v>211033</v>
      </c>
      <c r="F17" s="46">
        <f t="shared" si="3"/>
        <v>211033</v>
      </c>
      <c r="G17" s="46">
        <f t="shared" si="3"/>
        <v>211033</v>
      </c>
      <c r="H17" s="46">
        <f t="shared" si="3"/>
        <v>1055165</v>
      </c>
      <c r="I17" s="16"/>
      <c r="J17" s="42"/>
      <c r="K17" s="43"/>
      <c r="L17" s="43"/>
    </row>
    <row r="18" spans="1:12" s="159" customFormat="1" ht="16.5" customHeight="1" x14ac:dyDescent="0.25">
      <c r="B18" s="9" t="s">
        <v>209</v>
      </c>
      <c r="C18" s="15">
        <v>105200</v>
      </c>
      <c r="D18" s="15">
        <f>C18</f>
        <v>105200</v>
      </c>
      <c r="E18" s="15">
        <f t="shared" ref="E18" si="4">D18</f>
        <v>105200</v>
      </c>
      <c r="F18" s="15">
        <f t="shared" ref="F18" si="5">E18</f>
        <v>105200</v>
      </c>
      <c r="G18" s="15">
        <f t="shared" ref="G18" si="6">F18</f>
        <v>105200</v>
      </c>
      <c r="H18" s="37">
        <f t="shared" si="2"/>
        <v>526000</v>
      </c>
      <c r="I18" s="125" t="s">
        <v>129</v>
      </c>
      <c r="J18" s="42"/>
      <c r="K18" s="43"/>
      <c r="L18" s="43"/>
    </row>
    <row r="19" spans="1:12" s="159" customFormat="1" ht="16.5" customHeight="1" x14ac:dyDescent="0.25">
      <c r="B19" s="9" t="s">
        <v>179</v>
      </c>
      <c r="C19" s="15">
        <v>105833</v>
      </c>
      <c r="D19" s="15">
        <f>C19</f>
        <v>105833</v>
      </c>
      <c r="E19" s="15">
        <f t="shared" ref="E19:G19" si="7">D19</f>
        <v>105833</v>
      </c>
      <c r="F19" s="15">
        <f t="shared" si="7"/>
        <v>105833</v>
      </c>
      <c r="G19" s="15">
        <f t="shared" si="7"/>
        <v>105833</v>
      </c>
      <c r="H19" s="37">
        <f t="shared" si="2"/>
        <v>529165</v>
      </c>
      <c r="I19" s="125" t="s">
        <v>129</v>
      </c>
      <c r="J19" s="42"/>
      <c r="K19" s="43"/>
      <c r="L19" s="43"/>
    </row>
    <row r="20" spans="1:12" s="159" customFormat="1" ht="16.5" customHeight="1" thickBot="1" x14ac:dyDescent="0.3">
      <c r="B20" s="51" t="s">
        <v>1</v>
      </c>
      <c r="C20" s="52"/>
      <c r="D20" s="52"/>
      <c r="E20" s="52"/>
      <c r="F20" s="52"/>
      <c r="G20" s="52"/>
      <c r="H20" s="54">
        <f t="shared" si="2"/>
        <v>0</v>
      </c>
      <c r="I20" s="126"/>
      <c r="J20" s="42"/>
      <c r="K20" s="43"/>
      <c r="L20" s="43"/>
    </row>
    <row r="21" spans="1:12" s="159" customFormat="1" ht="16.5" customHeight="1" x14ac:dyDescent="0.25">
      <c r="B21" s="58"/>
      <c r="C21" s="59"/>
      <c r="D21" s="59"/>
      <c r="E21" s="59"/>
      <c r="F21" s="59"/>
      <c r="G21" s="59"/>
      <c r="H21" s="59"/>
      <c r="I21" s="59"/>
      <c r="J21" s="42"/>
      <c r="K21" s="43"/>
      <c r="L21" s="43"/>
    </row>
    <row r="22" spans="1:12" s="159" customFormat="1" ht="16.5" customHeight="1" x14ac:dyDescent="0.25">
      <c r="B22" s="259" t="s">
        <v>59</v>
      </c>
      <c r="C22" s="260"/>
      <c r="D22" s="260"/>
      <c r="E22" s="260"/>
      <c r="F22" s="260"/>
      <c r="G22" s="260"/>
      <c r="H22" s="260"/>
      <c r="I22" s="260"/>
    </row>
    <row r="23" spans="1:12" s="159" customFormat="1" ht="16.5" customHeight="1" thickBot="1" x14ac:dyDescent="0.3"/>
    <row r="24" spans="1:12" s="159" customFormat="1" ht="66.75" customHeight="1" thickBot="1" x14ac:dyDescent="0.4">
      <c r="A24" s="79"/>
      <c r="B24" s="55" t="s">
        <v>38</v>
      </c>
      <c r="C24" s="18">
        <v>2022</v>
      </c>
      <c r="D24" s="18">
        <v>2023</v>
      </c>
      <c r="E24" s="18">
        <v>2024</v>
      </c>
      <c r="F24" s="18">
        <v>2025</v>
      </c>
      <c r="G24" s="18">
        <v>2026</v>
      </c>
      <c r="H24" s="44" t="s">
        <v>10</v>
      </c>
      <c r="I24" s="47" t="s">
        <v>36</v>
      </c>
      <c r="J24" s="40"/>
      <c r="K24" s="41"/>
      <c r="L24" s="41"/>
    </row>
    <row r="25" spans="1:12" s="159" customFormat="1" ht="16.5" customHeight="1" x14ac:dyDescent="0.25">
      <c r="B25" s="48" t="s">
        <v>6</v>
      </c>
      <c r="C25" s="49">
        <f t="shared" ref="C25:H25" si="8">SUM(C26+C29)</f>
        <v>1001845</v>
      </c>
      <c r="D25" s="49">
        <f t="shared" si="8"/>
        <v>1609333</v>
      </c>
      <c r="E25" s="49">
        <f t="shared" si="8"/>
        <v>1662233</v>
      </c>
      <c r="F25" s="49">
        <f t="shared" si="8"/>
        <v>1718033</v>
      </c>
      <c r="G25" s="49">
        <f t="shared" si="8"/>
        <v>261033</v>
      </c>
      <c r="H25" s="65">
        <f t="shared" si="8"/>
        <v>6252477</v>
      </c>
      <c r="I25" s="50"/>
      <c r="J25" s="42"/>
      <c r="K25" s="43"/>
      <c r="L25" s="43"/>
    </row>
    <row r="26" spans="1:12" s="159" customFormat="1" ht="16.5" customHeight="1" x14ac:dyDescent="0.25">
      <c r="B26" s="45" t="s">
        <v>44</v>
      </c>
      <c r="C26" s="46">
        <f t="shared" ref="C26:H26" si="9">SUM(C27:C28)</f>
        <v>140000</v>
      </c>
      <c r="D26" s="46">
        <f t="shared" si="9"/>
        <v>140000</v>
      </c>
      <c r="E26" s="46">
        <f t="shared" si="9"/>
        <v>140000</v>
      </c>
      <c r="F26" s="46">
        <f t="shared" si="9"/>
        <v>140000</v>
      </c>
      <c r="G26" s="46">
        <f t="shared" si="9"/>
        <v>0</v>
      </c>
      <c r="H26" s="46">
        <f t="shared" si="9"/>
        <v>560000</v>
      </c>
      <c r="I26" s="16"/>
      <c r="J26" s="42"/>
      <c r="L26" s="43"/>
    </row>
    <row r="27" spans="1:12" s="159" customFormat="1" ht="16.5" customHeight="1" x14ac:dyDescent="0.25">
      <c r="B27" s="63" t="s">
        <v>37</v>
      </c>
      <c r="C27" s="64">
        <f>D56</f>
        <v>140000</v>
      </c>
      <c r="D27" s="64">
        <f>G56</f>
        <v>140000</v>
      </c>
      <c r="E27" s="64">
        <f>J56</f>
        <v>140000</v>
      </c>
      <c r="F27" s="64">
        <f>M56</f>
        <v>140000</v>
      </c>
      <c r="G27" s="46"/>
      <c r="H27" s="46">
        <f t="shared" ref="H27:H28" si="10">SUM(C27:G27)</f>
        <v>560000</v>
      </c>
      <c r="I27" s="16"/>
      <c r="J27" s="42"/>
      <c r="L27" s="43"/>
    </row>
    <row r="28" spans="1:12" s="159" customFormat="1" ht="16.5" customHeight="1" x14ac:dyDescent="0.25">
      <c r="B28" s="9" t="s">
        <v>1</v>
      </c>
      <c r="C28" s="15"/>
      <c r="D28" s="15"/>
      <c r="E28" s="15"/>
      <c r="F28" s="15"/>
      <c r="G28" s="15"/>
      <c r="H28" s="15">
        <f t="shared" si="10"/>
        <v>0</v>
      </c>
      <c r="I28" s="16"/>
      <c r="J28" s="42"/>
      <c r="K28" s="43"/>
      <c r="L28" s="43"/>
    </row>
    <row r="29" spans="1:12" s="159" customFormat="1" ht="16.5" customHeight="1" x14ac:dyDescent="0.25">
      <c r="B29" s="45" t="s">
        <v>45</v>
      </c>
      <c r="C29" s="46">
        <f t="shared" ref="C29:H29" si="11">SUM(C30:C34)</f>
        <v>861845</v>
      </c>
      <c r="D29" s="46">
        <f t="shared" si="11"/>
        <v>1469333</v>
      </c>
      <c r="E29" s="46">
        <f t="shared" si="11"/>
        <v>1522233</v>
      </c>
      <c r="F29" s="46">
        <f t="shared" si="11"/>
        <v>1578033</v>
      </c>
      <c r="G29" s="46">
        <f t="shared" si="11"/>
        <v>261033</v>
      </c>
      <c r="H29" s="46">
        <f t="shared" si="11"/>
        <v>5692477</v>
      </c>
      <c r="I29" s="16"/>
      <c r="J29" s="42"/>
      <c r="K29" s="43"/>
      <c r="L29" s="43"/>
    </row>
    <row r="30" spans="1:12" s="159" customFormat="1" ht="16.5" customHeight="1" x14ac:dyDescent="0.25">
      <c r="B30" s="63" t="s">
        <v>55</v>
      </c>
      <c r="C30" s="64">
        <f>D58</f>
        <v>186512</v>
      </c>
      <c r="D30" s="64">
        <f>G58</f>
        <v>447200</v>
      </c>
      <c r="E30" s="64">
        <f>J58</f>
        <v>478600</v>
      </c>
      <c r="F30" s="64">
        <f>M58</f>
        <v>512100</v>
      </c>
      <c r="G30" s="46">
        <v>50000</v>
      </c>
      <c r="H30" s="15">
        <f t="shared" ref="H30:H34" si="12">SUM(C30:G30)</f>
        <v>1674412</v>
      </c>
      <c r="I30" s="16"/>
      <c r="J30" s="42"/>
      <c r="K30" s="43"/>
      <c r="L30" s="43"/>
    </row>
    <row r="31" spans="1:12" s="159" customFormat="1" ht="16.5" customHeight="1" x14ac:dyDescent="0.25">
      <c r="B31" s="63" t="s">
        <v>56</v>
      </c>
      <c r="C31" s="64">
        <f>D68</f>
        <v>464300</v>
      </c>
      <c r="D31" s="64">
        <f>G68</f>
        <v>811100</v>
      </c>
      <c r="E31" s="64">
        <f>J68</f>
        <v>832600</v>
      </c>
      <c r="F31" s="64">
        <f>M68</f>
        <v>854900</v>
      </c>
      <c r="G31" s="46"/>
      <c r="H31" s="15">
        <f>SUM(C31:G31)</f>
        <v>2962900</v>
      </c>
      <c r="I31" s="16"/>
      <c r="J31" s="42"/>
      <c r="K31" s="43"/>
      <c r="L31" s="43"/>
    </row>
    <row r="32" spans="1:12" s="159" customFormat="1" ht="16.5" customHeight="1" x14ac:dyDescent="0.25">
      <c r="B32" s="9" t="s">
        <v>209</v>
      </c>
      <c r="C32" s="15">
        <v>105200</v>
      </c>
      <c r="D32" s="15">
        <f>C32</f>
        <v>105200</v>
      </c>
      <c r="E32" s="15">
        <f t="shared" ref="E32:E33" si="13">D32</f>
        <v>105200</v>
      </c>
      <c r="F32" s="15">
        <f t="shared" ref="F32:F33" si="14">E32</f>
        <v>105200</v>
      </c>
      <c r="G32" s="15">
        <f t="shared" ref="G32:G33" si="15">F32</f>
        <v>105200</v>
      </c>
      <c r="H32" s="37">
        <f t="shared" ref="H32:H33" si="16">SUM(C32:G32)</f>
        <v>526000</v>
      </c>
      <c r="I32" s="125" t="s">
        <v>129</v>
      </c>
      <c r="J32" s="42"/>
      <c r="K32" s="43"/>
      <c r="L32" s="43"/>
    </row>
    <row r="33" spans="1:13" s="159" customFormat="1" ht="16.5" customHeight="1" x14ac:dyDescent="0.25">
      <c r="B33" s="9" t="s">
        <v>179</v>
      </c>
      <c r="C33" s="15">
        <v>105833</v>
      </c>
      <c r="D33" s="15">
        <f>C33</f>
        <v>105833</v>
      </c>
      <c r="E33" s="15">
        <f t="shared" si="13"/>
        <v>105833</v>
      </c>
      <c r="F33" s="15">
        <f t="shared" si="14"/>
        <v>105833</v>
      </c>
      <c r="G33" s="15">
        <f t="shared" si="15"/>
        <v>105833</v>
      </c>
      <c r="H33" s="37">
        <f t="shared" si="16"/>
        <v>529165</v>
      </c>
      <c r="I33" s="125" t="s">
        <v>129</v>
      </c>
      <c r="J33" s="42"/>
      <c r="K33" s="43"/>
      <c r="L33" s="43"/>
      <c r="M33" s="36"/>
    </row>
    <row r="34" spans="1:13" s="159" customFormat="1" ht="16.5" customHeight="1" thickBot="1" x14ac:dyDescent="0.3">
      <c r="B34" s="51" t="s">
        <v>41</v>
      </c>
      <c r="C34" s="52"/>
      <c r="D34" s="52"/>
      <c r="E34" s="52"/>
      <c r="F34" s="52"/>
      <c r="G34" s="52"/>
      <c r="H34" s="52">
        <f t="shared" si="12"/>
        <v>0</v>
      </c>
      <c r="I34" s="53"/>
      <c r="J34" s="42"/>
      <c r="K34" s="43"/>
      <c r="L34" s="43"/>
    </row>
    <row r="35" spans="1:13" ht="16.5" customHeight="1" x14ac:dyDescent="0.25">
      <c r="J35" s="5"/>
    </row>
    <row r="36" spans="1:13" s="159" customFormat="1" ht="45" x14ac:dyDescent="0.35">
      <c r="A36" s="80"/>
      <c r="B36" s="69" t="s">
        <v>11</v>
      </c>
      <c r="C36" s="70" t="s">
        <v>15</v>
      </c>
      <c r="D36" s="68" t="s">
        <v>16</v>
      </c>
      <c r="E36" s="68" t="s">
        <v>60</v>
      </c>
      <c r="F36" s="68" t="s">
        <v>19</v>
      </c>
    </row>
    <row r="37" spans="1:13" s="159" customFormat="1" ht="75" x14ac:dyDescent="0.25">
      <c r="B37" s="8" t="s">
        <v>17</v>
      </c>
      <c r="C37" s="184" t="s">
        <v>258</v>
      </c>
      <c r="D37" s="184" t="s">
        <v>259</v>
      </c>
      <c r="E37" s="184" t="s">
        <v>268</v>
      </c>
      <c r="F37" s="184" t="s">
        <v>269</v>
      </c>
    </row>
    <row r="38" spans="1:13" s="159" customFormat="1" ht="120" x14ac:dyDescent="0.25">
      <c r="B38" s="184" t="s">
        <v>270</v>
      </c>
      <c r="C38" s="184" t="s">
        <v>271</v>
      </c>
      <c r="D38" s="184" t="s">
        <v>272</v>
      </c>
      <c r="E38" s="184" t="s">
        <v>273</v>
      </c>
      <c r="F38" s="184" t="s">
        <v>274</v>
      </c>
    </row>
    <row r="39" spans="1:13" s="159" customFormat="1" x14ac:dyDescent="0.25"/>
    <row r="40" spans="1:13" s="159" customFormat="1" ht="46.5" customHeight="1" x14ac:dyDescent="0.25">
      <c r="B40" s="261" t="s">
        <v>57</v>
      </c>
      <c r="C40" s="262"/>
      <c r="D40" s="262"/>
      <c r="E40" s="262"/>
      <c r="F40" s="262"/>
      <c r="G40" s="68" t="s">
        <v>15</v>
      </c>
      <c r="H40" s="68" t="s">
        <v>16</v>
      </c>
      <c r="I40" s="68" t="s">
        <v>60</v>
      </c>
      <c r="J40" s="68" t="s">
        <v>19</v>
      </c>
    </row>
    <row r="41" spans="1:13" s="159" customFormat="1" x14ac:dyDescent="0.25">
      <c r="B41" s="11" t="s">
        <v>26</v>
      </c>
      <c r="C41" s="19"/>
      <c r="D41" s="19"/>
      <c r="E41" s="19"/>
      <c r="F41" s="20"/>
      <c r="G41" s="10"/>
      <c r="H41" s="10"/>
      <c r="I41" s="10"/>
      <c r="J41" s="10"/>
    </row>
    <row r="42" spans="1:13" s="159" customFormat="1" x14ac:dyDescent="0.25">
      <c r="B42" s="11" t="s">
        <v>20</v>
      </c>
      <c r="C42" s="19"/>
      <c r="D42" s="19"/>
      <c r="E42" s="19"/>
      <c r="F42" s="20"/>
      <c r="G42" s="10"/>
      <c r="H42" s="10"/>
      <c r="I42" s="10"/>
      <c r="J42" s="10"/>
    </row>
    <row r="43" spans="1:13" s="159" customFormat="1" x14ac:dyDescent="0.25">
      <c r="B43" s="11" t="s">
        <v>27</v>
      </c>
      <c r="C43" s="19"/>
      <c r="D43" s="19"/>
      <c r="E43" s="19"/>
      <c r="F43" s="20"/>
      <c r="G43" s="10"/>
      <c r="H43" s="10"/>
      <c r="I43" s="10"/>
      <c r="J43" s="10"/>
    </row>
    <row r="44" spans="1:13" s="159" customFormat="1" x14ac:dyDescent="0.25">
      <c r="B44" s="11" t="s">
        <v>21</v>
      </c>
      <c r="C44" s="19"/>
      <c r="D44" s="19"/>
      <c r="E44" s="19"/>
      <c r="F44" s="20"/>
      <c r="G44" s="10"/>
      <c r="H44" s="10"/>
      <c r="I44" s="10"/>
      <c r="J44" s="185"/>
    </row>
    <row r="45" spans="1:13" s="159" customFormat="1" x14ac:dyDescent="0.25">
      <c r="B45" s="11" t="s">
        <v>22</v>
      </c>
      <c r="C45" s="19"/>
      <c r="D45" s="19"/>
      <c r="E45" s="19"/>
      <c r="F45" s="20"/>
      <c r="G45" s="10"/>
      <c r="H45" s="10"/>
      <c r="I45" s="10"/>
      <c r="J45" s="10"/>
    </row>
    <row r="46" spans="1:13" s="159" customFormat="1" x14ac:dyDescent="0.25">
      <c r="B46" s="11" t="s">
        <v>23</v>
      </c>
      <c r="C46" s="21"/>
      <c r="D46" s="21"/>
      <c r="E46" s="21"/>
      <c r="F46" s="22"/>
      <c r="G46" s="10"/>
      <c r="H46" s="10"/>
      <c r="I46" s="10"/>
      <c r="J46" s="10"/>
    </row>
    <row r="47" spans="1:13" s="159" customFormat="1" x14ac:dyDescent="0.25">
      <c r="B47" s="11" t="s">
        <v>24</v>
      </c>
      <c r="C47" s="19"/>
      <c r="D47" s="19"/>
      <c r="E47" s="19"/>
      <c r="F47" s="20"/>
      <c r="G47" s="10"/>
      <c r="H47" s="10"/>
      <c r="I47" s="10"/>
      <c r="J47" s="10"/>
    </row>
    <row r="48" spans="1:13" s="159" customFormat="1" x14ac:dyDescent="0.25">
      <c r="B48" s="11" t="s">
        <v>25</v>
      </c>
      <c r="C48" s="19"/>
      <c r="D48" s="19"/>
      <c r="E48" s="19"/>
      <c r="F48" s="20"/>
      <c r="G48" s="10"/>
      <c r="H48" s="10"/>
      <c r="I48" s="10"/>
      <c r="J48" s="10"/>
    </row>
    <row r="49" spans="1:14" s="159" customFormat="1" x14ac:dyDescent="0.25">
      <c r="B49" s="11" t="s">
        <v>1</v>
      </c>
      <c r="C49" s="19"/>
      <c r="D49" s="19"/>
      <c r="E49" s="19"/>
      <c r="F49" s="20"/>
      <c r="G49" s="10"/>
      <c r="H49" s="10"/>
      <c r="I49" s="10"/>
      <c r="J49" s="10"/>
    </row>
    <row r="50" spans="1:14" s="159" customFormat="1" x14ac:dyDescent="0.25"/>
    <row r="51" spans="1:14" s="7" customFormat="1" ht="21" x14ac:dyDescent="0.25">
      <c r="A51" s="23" t="s">
        <v>14</v>
      </c>
    </row>
    <row r="52" spans="1:14" s="159" customFormat="1" ht="19.5" thickBot="1" x14ac:dyDescent="0.35">
      <c r="A52" s="6"/>
      <c r="D52" s="228">
        <f>D55-790812</f>
        <v>0</v>
      </c>
    </row>
    <row r="53" spans="1:14" ht="14.25" customHeight="1" x14ac:dyDescent="0.25">
      <c r="A53" s="23"/>
      <c r="C53" s="263">
        <v>2022</v>
      </c>
      <c r="D53" s="264"/>
      <c r="E53" s="265"/>
      <c r="F53" s="263">
        <v>2023</v>
      </c>
      <c r="G53" s="264"/>
      <c r="H53" s="265"/>
      <c r="I53" s="263">
        <v>2024</v>
      </c>
      <c r="J53" s="264"/>
      <c r="K53" s="265"/>
      <c r="L53" s="263">
        <v>2025</v>
      </c>
      <c r="M53" s="264"/>
      <c r="N53" s="265"/>
    </row>
    <row r="54" spans="1:14" ht="21" x14ac:dyDescent="0.35">
      <c r="A54" s="79"/>
      <c r="B54" s="24" t="s">
        <v>28</v>
      </c>
      <c r="C54" s="71" t="s">
        <v>12</v>
      </c>
      <c r="D54" s="14" t="s">
        <v>31</v>
      </c>
      <c r="E54" s="72" t="s">
        <v>30</v>
      </c>
      <c r="F54" s="71" t="s">
        <v>12</v>
      </c>
      <c r="G54" s="14" t="s">
        <v>31</v>
      </c>
      <c r="H54" s="72" t="s">
        <v>30</v>
      </c>
      <c r="I54" s="71" t="s">
        <v>12</v>
      </c>
      <c r="J54" s="14" t="s">
        <v>31</v>
      </c>
      <c r="K54" s="72" t="s">
        <v>30</v>
      </c>
      <c r="L54" s="71" t="s">
        <v>12</v>
      </c>
      <c r="M54" s="14" t="s">
        <v>31</v>
      </c>
      <c r="N54" s="72" t="s">
        <v>30</v>
      </c>
    </row>
    <row r="55" spans="1:14" ht="21" x14ac:dyDescent="0.35">
      <c r="A55" s="79"/>
      <c r="B55" s="24" t="s">
        <v>6</v>
      </c>
      <c r="C55" s="28" t="s">
        <v>13</v>
      </c>
      <c r="D55" s="61">
        <f>SUM(D56+D58+D68)</f>
        <v>790812</v>
      </c>
      <c r="E55" s="29" t="s">
        <v>13</v>
      </c>
      <c r="F55" s="28" t="s">
        <v>13</v>
      </c>
      <c r="G55" s="61">
        <f>SUM(G56+G58+G68)</f>
        <v>1398300</v>
      </c>
      <c r="H55" s="29" t="s">
        <v>13</v>
      </c>
      <c r="I55" s="28" t="s">
        <v>13</v>
      </c>
      <c r="J55" s="61">
        <f>SUM(J56+J58+J68)</f>
        <v>1451200</v>
      </c>
      <c r="K55" s="29" t="s">
        <v>13</v>
      </c>
      <c r="L55" s="28" t="s">
        <v>13</v>
      </c>
      <c r="M55" s="61">
        <f>SUM(M56+M58+M68)</f>
        <v>1507000</v>
      </c>
      <c r="N55" s="29" t="s">
        <v>13</v>
      </c>
    </row>
    <row r="56" spans="1:14" s="60" customFormat="1" x14ac:dyDescent="0.25">
      <c r="B56" s="24" t="s">
        <v>29</v>
      </c>
      <c r="C56" s="26"/>
      <c r="D56" s="34">
        <f>SUM(D57:D57)</f>
        <v>140000</v>
      </c>
      <c r="E56" s="27"/>
      <c r="F56" s="26"/>
      <c r="G56" s="34">
        <f>SUM(G57:G57)</f>
        <v>140000</v>
      </c>
      <c r="H56" s="27"/>
      <c r="I56" s="26"/>
      <c r="J56" s="34">
        <f>SUM(J57:J57)</f>
        <v>140000</v>
      </c>
      <c r="K56" s="27"/>
      <c r="L56" s="26"/>
      <c r="M56" s="34">
        <f>SUM(M57:M57)</f>
        <v>140000</v>
      </c>
      <c r="N56" s="27"/>
    </row>
    <row r="57" spans="1:14" x14ac:dyDescent="0.25">
      <c r="B57" s="25"/>
      <c r="C57" s="30" t="s">
        <v>201</v>
      </c>
      <c r="D57" s="2">
        <v>140000</v>
      </c>
      <c r="E57" s="31" t="s">
        <v>202</v>
      </c>
      <c r="F57" s="30" t="s">
        <v>201</v>
      </c>
      <c r="G57" s="2">
        <v>140000</v>
      </c>
      <c r="H57" s="31" t="s">
        <v>202</v>
      </c>
      <c r="I57" s="30" t="s">
        <v>201</v>
      </c>
      <c r="J57" s="2">
        <v>140000</v>
      </c>
      <c r="K57" s="31" t="s">
        <v>202</v>
      </c>
      <c r="L57" s="30" t="s">
        <v>201</v>
      </c>
      <c r="M57" s="2">
        <v>140000</v>
      </c>
      <c r="N57" s="31" t="s">
        <v>202</v>
      </c>
    </row>
    <row r="58" spans="1:14" s="60" customFormat="1" x14ac:dyDescent="0.25">
      <c r="B58" s="24" t="s">
        <v>43</v>
      </c>
      <c r="C58" s="26"/>
      <c r="D58" s="34">
        <f>SUM(D59:D67)</f>
        <v>186512</v>
      </c>
      <c r="E58" s="27"/>
      <c r="F58" s="26"/>
      <c r="G58" s="34">
        <f>SUM(G59:G67)</f>
        <v>447200</v>
      </c>
      <c r="H58" s="27"/>
      <c r="I58" s="26"/>
      <c r="J58" s="34">
        <f>SUM(J59:J67)</f>
        <v>478600</v>
      </c>
      <c r="K58" s="27"/>
      <c r="L58" s="26"/>
      <c r="M58" s="34">
        <f>SUM(M59:M67)</f>
        <v>512100</v>
      </c>
      <c r="N58" s="27"/>
    </row>
    <row r="59" spans="1:14" x14ac:dyDescent="0.25">
      <c r="B59" s="25"/>
      <c r="C59" s="30" t="s">
        <v>64</v>
      </c>
      <c r="D59" s="202">
        <f>59100/2</f>
        <v>29550</v>
      </c>
      <c r="E59" s="31" t="s">
        <v>196</v>
      </c>
      <c r="F59" s="30" t="s">
        <v>64</v>
      </c>
      <c r="G59" s="2">
        <v>63200</v>
      </c>
      <c r="H59" s="31" t="s">
        <v>196</v>
      </c>
      <c r="I59" s="30" t="s">
        <v>64</v>
      </c>
      <c r="J59" s="2">
        <f t="shared" ref="J59:J67" si="17">ROUND(G59*1.07/100,0)*100</f>
        <v>67600</v>
      </c>
      <c r="K59" s="31" t="s">
        <v>196</v>
      </c>
      <c r="L59" s="30" t="s">
        <v>64</v>
      </c>
      <c r="M59" s="2">
        <f t="shared" ref="M59:M67" si="18">ROUND(J59*1.07/100,0)*100</f>
        <v>72300</v>
      </c>
      <c r="N59" s="31" t="s">
        <v>196</v>
      </c>
    </row>
    <row r="60" spans="1:14" x14ac:dyDescent="0.25">
      <c r="B60" s="25"/>
      <c r="C60" s="30" t="s">
        <v>64</v>
      </c>
      <c r="D60" s="202">
        <f>52200/2</f>
        <v>26100</v>
      </c>
      <c r="E60" s="31" t="s">
        <v>197</v>
      </c>
      <c r="F60" s="30" t="s">
        <v>64</v>
      </c>
      <c r="G60" s="2">
        <v>55900</v>
      </c>
      <c r="H60" s="31" t="s">
        <v>197</v>
      </c>
      <c r="I60" s="30" t="s">
        <v>64</v>
      </c>
      <c r="J60" s="2">
        <f t="shared" si="17"/>
        <v>59800</v>
      </c>
      <c r="K60" s="31" t="s">
        <v>197</v>
      </c>
      <c r="L60" s="30" t="s">
        <v>64</v>
      </c>
      <c r="M60" s="2">
        <f t="shared" si="18"/>
        <v>64000</v>
      </c>
      <c r="N60" s="31" t="s">
        <v>197</v>
      </c>
    </row>
    <row r="61" spans="1:14" x14ac:dyDescent="0.25">
      <c r="B61" s="25"/>
      <c r="C61" s="30" t="s">
        <v>64</v>
      </c>
      <c r="D61" s="202">
        <f>43500/2</f>
        <v>21750</v>
      </c>
      <c r="E61" s="31" t="s">
        <v>198</v>
      </c>
      <c r="F61" s="30" t="s">
        <v>64</v>
      </c>
      <c r="G61" s="2">
        <v>46500</v>
      </c>
      <c r="H61" s="31" t="s">
        <v>198</v>
      </c>
      <c r="I61" s="30" t="s">
        <v>64</v>
      </c>
      <c r="J61" s="2">
        <f t="shared" si="17"/>
        <v>49800</v>
      </c>
      <c r="K61" s="31" t="s">
        <v>198</v>
      </c>
      <c r="L61" s="30" t="s">
        <v>64</v>
      </c>
      <c r="M61" s="2">
        <f t="shared" si="18"/>
        <v>53300</v>
      </c>
      <c r="N61" s="31" t="s">
        <v>198</v>
      </c>
    </row>
    <row r="62" spans="1:14" x14ac:dyDescent="0.25">
      <c r="B62" s="25"/>
      <c r="C62" s="30" t="s">
        <v>64</v>
      </c>
      <c r="D62" s="202">
        <f>55700/2</f>
        <v>27850</v>
      </c>
      <c r="E62" s="31" t="s">
        <v>198</v>
      </c>
      <c r="F62" s="30" t="s">
        <v>64</v>
      </c>
      <c r="G62" s="2">
        <v>59600</v>
      </c>
      <c r="H62" s="31" t="s">
        <v>198</v>
      </c>
      <c r="I62" s="30" t="s">
        <v>64</v>
      </c>
      <c r="J62" s="2">
        <f t="shared" si="17"/>
        <v>63800</v>
      </c>
      <c r="K62" s="31" t="s">
        <v>198</v>
      </c>
      <c r="L62" s="30" t="s">
        <v>64</v>
      </c>
      <c r="M62" s="2">
        <f t="shared" si="18"/>
        <v>68300</v>
      </c>
      <c r="N62" s="31" t="s">
        <v>198</v>
      </c>
    </row>
    <row r="63" spans="1:14" x14ac:dyDescent="0.25">
      <c r="B63" s="25"/>
      <c r="C63" s="30" t="s">
        <v>64</v>
      </c>
      <c r="D63" s="202">
        <f>34800/2</f>
        <v>17400</v>
      </c>
      <c r="E63" s="31" t="s">
        <v>199</v>
      </c>
      <c r="F63" s="30" t="s">
        <v>64</v>
      </c>
      <c r="G63" s="2">
        <v>37200</v>
      </c>
      <c r="H63" s="31" t="s">
        <v>199</v>
      </c>
      <c r="I63" s="30" t="s">
        <v>64</v>
      </c>
      <c r="J63" s="2">
        <f t="shared" si="17"/>
        <v>39800</v>
      </c>
      <c r="K63" s="31" t="s">
        <v>199</v>
      </c>
      <c r="L63" s="30" t="s">
        <v>64</v>
      </c>
      <c r="M63" s="2">
        <f t="shared" si="18"/>
        <v>42600</v>
      </c>
      <c r="N63" s="31" t="s">
        <v>199</v>
      </c>
    </row>
    <row r="64" spans="1:14" x14ac:dyDescent="0.25">
      <c r="B64" s="25"/>
      <c r="C64" s="30" t="s">
        <v>64</v>
      </c>
      <c r="D64" s="202">
        <f>45200/2</f>
        <v>22600</v>
      </c>
      <c r="E64" s="31" t="s">
        <v>195</v>
      </c>
      <c r="F64" s="30" t="s">
        <v>64</v>
      </c>
      <c r="G64" s="2">
        <v>48400</v>
      </c>
      <c r="H64" s="31" t="s">
        <v>195</v>
      </c>
      <c r="I64" s="30" t="s">
        <v>64</v>
      </c>
      <c r="J64" s="2">
        <f t="shared" si="17"/>
        <v>51800</v>
      </c>
      <c r="K64" s="31" t="s">
        <v>195</v>
      </c>
      <c r="L64" s="30" t="s">
        <v>64</v>
      </c>
      <c r="M64" s="2">
        <f t="shared" si="18"/>
        <v>55400</v>
      </c>
      <c r="N64" s="31" t="s">
        <v>195</v>
      </c>
    </row>
    <row r="65" spans="1:14" x14ac:dyDescent="0.25">
      <c r="B65" s="25"/>
      <c r="C65" s="30" t="s">
        <v>64</v>
      </c>
      <c r="D65" s="202">
        <f>45200/2</f>
        <v>22600</v>
      </c>
      <c r="E65" s="31" t="s">
        <v>195</v>
      </c>
      <c r="F65" s="30" t="s">
        <v>64</v>
      </c>
      <c r="G65" s="2">
        <v>48400</v>
      </c>
      <c r="H65" s="31" t="s">
        <v>195</v>
      </c>
      <c r="I65" s="30" t="s">
        <v>64</v>
      </c>
      <c r="J65" s="2">
        <f t="shared" si="17"/>
        <v>51800</v>
      </c>
      <c r="K65" s="31" t="s">
        <v>195</v>
      </c>
      <c r="L65" s="30" t="s">
        <v>64</v>
      </c>
      <c r="M65" s="2">
        <f t="shared" si="18"/>
        <v>55400</v>
      </c>
      <c r="N65" s="31" t="s">
        <v>195</v>
      </c>
    </row>
    <row r="66" spans="1:14" x14ac:dyDescent="0.25">
      <c r="B66" s="25"/>
      <c r="C66" s="30" t="s">
        <v>64</v>
      </c>
      <c r="D66" s="202"/>
      <c r="E66" s="31" t="s">
        <v>195</v>
      </c>
      <c r="F66" s="30" t="s">
        <v>64</v>
      </c>
      <c r="G66" s="2">
        <v>48400</v>
      </c>
      <c r="H66" s="31" t="s">
        <v>195</v>
      </c>
      <c r="I66" s="30" t="s">
        <v>64</v>
      </c>
      <c r="J66" s="2">
        <f t="shared" si="17"/>
        <v>51800</v>
      </c>
      <c r="K66" s="31" t="s">
        <v>195</v>
      </c>
      <c r="L66" s="30" t="s">
        <v>64</v>
      </c>
      <c r="M66" s="2">
        <f t="shared" si="18"/>
        <v>55400</v>
      </c>
      <c r="N66" s="31" t="s">
        <v>195</v>
      </c>
    </row>
    <row r="67" spans="1:14" x14ac:dyDescent="0.25">
      <c r="B67" s="25"/>
      <c r="C67" s="30" t="s">
        <v>64</v>
      </c>
      <c r="D67" s="202">
        <f>37000/2+162</f>
        <v>18662</v>
      </c>
      <c r="E67" s="31" t="s">
        <v>200</v>
      </c>
      <c r="F67" s="30" t="s">
        <v>64</v>
      </c>
      <c r="G67" s="2">
        <v>39600</v>
      </c>
      <c r="H67" s="31" t="s">
        <v>200</v>
      </c>
      <c r="I67" s="30" t="s">
        <v>64</v>
      </c>
      <c r="J67" s="2">
        <f t="shared" si="17"/>
        <v>42400</v>
      </c>
      <c r="K67" s="31" t="s">
        <v>200</v>
      </c>
      <c r="L67" s="30" t="s">
        <v>64</v>
      </c>
      <c r="M67" s="2">
        <f t="shared" si="18"/>
        <v>45400</v>
      </c>
      <c r="N67" s="31" t="s">
        <v>200</v>
      </c>
    </row>
    <row r="68" spans="1:14" s="60" customFormat="1" x14ac:dyDescent="0.25">
      <c r="B68" s="24" t="s">
        <v>54</v>
      </c>
      <c r="C68" s="26"/>
      <c r="D68" s="34">
        <f>SUM(D69:D75)</f>
        <v>464300</v>
      </c>
      <c r="E68" s="27"/>
      <c r="F68" s="26"/>
      <c r="G68" s="34">
        <f>SUM(G69:G75)</f>
        <v>811100</v>
      </c>
      <c r="H68" s="27"/>
      <c r="I68" s="26"/>
      <c r="J68" s="34">
        <f>SUM(J69:J75)</f>
        <v>832600</v>
      </c>
      <c r="K68" s="27"/>
      <c r="L68" s="26"/>
      <c r="M68" s="34">
        <f>SUM(M69:M75)</f>
        <v>854900</v>
      </c>
      <c r="N68" s="27"/>
    </row>
    <row r="69" spans="1:14" x14ac:dyDescent="0.25">
      <c r="B69" s="25"/>
      <c r="C69" s="30" t="s">
        <v>203</v>
      </c>
      <c r="D69" s="202">
        <v>62000</v>
      </c>
      <c r="E69" s="236" t="s">
        <v>332</v>
      </c>
      <c r="F69" s="30" t="s">
        <v>203</v>
      </c>
      <c r="G69" s="204">
        <v>247600</v>
      </c>
      <c r="H69" s="31" t="s">
        <v>333</v>
      </c>
      <c r="I69" s="30" t="s">
        <v>203</v>
      </c>
      <c r="J69" s="204">
        <v>257500</v>
      </c>
      <c r="K69" s="231" t="s">
        <v>333</v>
      </c>
      <c r="L69" s="234" t="s">
        <v>203</v>
      </c>
      <c r="M69" s="204">
        <v>267700</v>
      </c>
      <c r="N69" s="231" t="s">
        <v>333</v>
      </c>
    </row>
    <row r="70" spans="1:14" x14ac:dyDescent="0.25">
      <c r="B70" s="25"/>
      <c r="C70" s="30" t="s">
        <v>203</v>
      </c>
      <c r="D70" s="122">
        <v>150300</v>
      </c>
      <c r="E70" s="123" t="s">
        <v>207</v>
      </c>
      <c r="F70" s="30" t="s">
        <v>203</v>
      </c>
      <c r="G70" s="233">
        <v>156300</v>
      </c>
      <c r="H70" s="123" t="s">
        <v>207</v>
      </c>
      <c r="I70" s="30" t="s">
        <v>203</v>
      </c>
      <c r="J70" s="233">
        <v>162500</v>
      </c>
      <c r="K70" s="235" t="s">
        <v>207</v>
      </c>
      <c r="L70" s="234" t="s">
        <v>203</v>
      </c>
      <c r="M70" s="233">
        <v>169000</v>
      </c>
      <c r="N70" s="235" t="s">
        <v>207</v>
      </c>
    </row>
    <row r="71" spans="1:14" x14ac:dyDescent="0.25">
      <c r="B71" s="25"/>
      <c r="C71" s="30" t="s">
        <v>203</v>
      </c>
      <c r="D71" s="233">
        <v>130000</v>
      </c>
      <c r="E71" s="123" t="s">
        <v>205</v>
      </c>
      <c r="F71" s="30" t="s">
        <v>203</v>
      </c>
      <c r="G71" s="233">
        <v>135200</v>
      </c>
      <c r="H71" s="123" t="s">
        <v>205</v>
      </c>
      <c r="I71" s="30" t="s">
        <v>203</v>
      </c>
      <c r="J71" s="233">
        <v>140600</v>
      </c>
      <c r="K71" s="235" t="s">
        <v>205</v>
      </c>
      <c r="L71" s="234" t="s">
        <v>203</v>
      </c>
      <c r="M71" s="233">
        <v>146200</v>
      </c>
      <c r="N71" s="235" t="s">
        <v>205</v>
      </c>
    </row>
    <row r="72" spans="1:14" x14ac:dyDescent="0.25">
      <c r="B72" s="25"/>
      <c r="C72" s="30" t="s">
        <v>203</v>
      </c>
      <c r="D72" s="122">
        <v>0</v>
      </c>
      <c r="E72" s="123" t="s">
        <v>204</v>
      </c>
      <c r="F72" s="30" t="s">
        <v>203</v>
      </c>
      <c r="G72" s="122">
        <v>50000</v>
      </c>
      <c r="H72" s="123" t="s">
        <v>204</v>
      </c>
      <c r="I72" s="30" t="s">
        <v>203</v>
      </c>
      <c r="J72" s="122">
        <v>50000</v>
      </c>
      <c r="K72" s="123" t="s">
        <v>204</v>
      </c>
      <c r="L72" s="30" t="s">
        <v>203</v>
      </c>
      <c r="M72" s="122">
        <v>50000</v>
      </c>
      <c r="N72" s="123" t="s">
        <v>204</v>
      </c>
    </row>
    <row r="73" spans="1:14" x14ac:dyDescent="0.25">
      <c r="B73" s="25"/>
      <c r="C73" s="30" t="s">
        <v>203</v>
      </c>
      <c r="D73" s="122">
        <v>92000</v>
      </c>
      <c r="E73" s="123" t="s">
        <v>208</v>
      </c>
      <c r="F73" s="30" t="s">
        <v>203</v>
      </c>
      <c r="G73" s="122">
        <v>192000</v>
      </c>
      <c r="H73" s="123" t="s">
        <v>208</v>
      </c>
      <c r="I73" s="30" t="s">
        <v>203</v>
      </c>
      <c r="J73" s="122">
        <v>192000</v>
      </c>
      <c r="K73" s="123" t="s">
        <v>208</v>
      </c>
      <c r="L73" s="30" t="s">
        <v>203</v>
      </c>
      <c r="M73" s="122">
        <v>192000</v>
      </c>
      <c r="N73" s="123" t="s">
        <v>208</v>
      </c>
    </row>
    <row r="74" spans="1:14" x14ac:dyDescent="0.25">
      <c r="B74" s="25"/>
      <c r="C74" s="30" t="s">
        <v>167</v>
      </c>
      <c r="D74" s="122">
        <v>30000</v>
      </c>
      <c r="E74" s="123" t="s">
        <v>206</v>
      </c>
      <c r="F74" s="30" t="s">
        <v>203</v>
      </c>
      <c r="G74" s="122">
        <v>30000</v>
      </c>
      <c r="H74" s="123" t="s">
        <v>206</v>
      </c>
      <c r="I74" s="30" t="s">
        <v>203</v>
      </c>
      <c r="J74" s="122">
        <v>30000</v>
      </c>
      <c r="K74" s="123" t="s">
        <v>206</v>
      </c>
      <c r="L74" s="30" t="s">
        <v>203</v>
      </c>
      <c r="M74" s="122">
        <v>30000</v>
      </c>
      <c r="N74" s="123" t="s">
        <v>206</v>
      </c>
    </row>
    <row r="75" spans="1:14" ht="15.75" thickBot="1" x14ac:dyDescent="0.3">
      <c r="B75" s="25"/>
      <c r="C75" s="32" t="s">
        <v>1</v>
      </c>
      <c r="D75" s="35"/>
      <c r="E75" s="33"/>
      <c r="F75" s="32" t="s">
        <v>1</v>
      </c>
      <c r="G75" s="35"/>
      <c r="H75" s="33"/>
      <c r="I75" s="32" t="s">
        <v>1</v>
      </c>
      <c r="J75" s="35"/>
      <c r="K75" s="33"/>
      <c r="L75" s="32" t="s">
        <v>1</v>
      </c>
      <c r="M75" s="35"/>
      <c r="N75" s="33"/>
    </row>
    <row r="76" spans="1:14" s="159" customFormat="1" x14ac:dyDescent="0.25"/>
    <row r="77" spans="1:14" s="159" customFormat="1" ht="21" x14ac:dyDescent="0.25">
      <c r="A77" s="23" t="s">
        <v>32</v>
      </c>
    </row>
    <row r="78" spans="1:14" s="159" customFormat="1" ht="18.75" x14ac:dyDescent="0.3">
      <c r="A78" s="6"/>
      <c r="B78"/>
      <c r="C78"/>
      <c r="D78"/>
      <c r="E78"/>
    </row>
    <row r="79" spans="1:14" s="7" customFormat="1" ht="75" x14ac:dyDescent="0.35">
      <c r="A79" s="80"/>
      <c r="B79" s="68" t="s">
        <v>33</v>
      </c>
      <c r="C79" s="68" t="s">
        <v>34</v>
      </c>
      <c r="D79" s="68" t="s">
        <v>63</v>
      </c>
      <c r="E79" s="68" t="s">
        <v>35</v>
      </c>
      <c r="F79" s="68" t="s">
        <v>61</v>
      </c>
    </row>
    <row r="80" spans="1:14" s="159" customFormat="1" ht="135" x14ac:dyDescent="0.25">
      <c r="B80" s="173" t="s">
        <v>188</v>
      </c>
      <c r="C80" s="10" t="s">
        <v>76</v>
      </c>
      <c r="D80" s="10" t="s">
        <v>76</v>
      </c>
      <c r="E80" s="173" t="s">
        <v>189</v>
      </c>
      <c r="F80" s="10" t="s">
        <v>190</v>
      </c>
    </row>
    <row r="81" spans="2:6" s="159" customFormat="1" ht="150" x14ac:dyDescent="0.25">
      <c r="B81" s="173" t="s">
        <v>191</v>
      </c>
      <c r="C81" s="10" t="s">
        <v>76</v>
      </c>
      <c r="D81" s="10" t="s">
        <v>170</v>
      </c>
      <c r="E81" s="173" t="s">
        <v>192</v>
      </c>
      <c r="F81" s="173" t="s">
        <v>193</v>
      </c>
    </row>
    <row r="82" spans="2:6" s="159" customFormat="1" x14ac:dyDescent="0.25"/>
    <row r="83" spans="2:6" s="159" customFormat="1" x14ac:dyDescent="0.25"/>
    <row r="84" spans="2:6" s="159" customFormat="1" x14ac:dyDescent="0.25"/>
    <row r="85" spans="2:6" s="159" customFormat="1" x14ac:dyDescent="0.25"/>
    <row r="86" spans="2:6" s="159" customFormat="1" x14ac:dyDescent="0.25"/>
    <row r="87" spans="2:6" s="159" customFormat="1" x14ac:dyDescent="0.25"/>
    <row r="88" spans="2:6" s="159" customFormat="1" x14ac:dyDescent="0.25"/>
    <row r="89" spans="2:6" s="159" customFormat="1" x14ac:dyDescent="0.25"/>
    <row r="90" spans="2:6" s="159" customFormat="1" x14ac:dyDescent="0.25"/>
    <row r="91" spans="2:6" s="159" customFormat="1" x14ac:dyDescent="0.25"/>
    <row r="92" spans="2:6" s="159" customFormat="1" x14ac:dyDescent="0.25"/>
    <row r="93" spans="2:6" s="159" customFormat="1" x14ac:dyDescent="0.25"/>
    <row r="94" spans="2:6" s="159" customFormat="1" x14ac:dyDescent="0.25"/>
    <row r="95" spans="2:6" s="159" customFormat="1" x14ac:dyDescent="0.25"/>
    <row r="96" spans="2:6" s="159" customFormat="1" x14ac:dyDescent="0.25"/>
    <row r="97" s="159" customFormat="1" x14ac:dyDescent="0.25"/>
    <row r="98" s="159" customFormat="1" x14ac:dyDescent="0.25"/>
    <row r="99" s="159" customFormat="1" x14ac:dyDescent="0.25"/>
    <row r="100" s="159" customFormat="1" x14ac:dyDescent="0.25"/>
    <row r="101" s="159" customFormat="1" x14ac:dyDescent="0.25"/>
    <row r="102" s="159" customFormat="1" x14ac:dyDescent="0.25"/>
    <row r="103" s="159" customFormat="1" x14ac:dyDescent="0.25"/>
    <row r="104" s="159" customFormat="1" x14ac:dyDescent="0.25"/>
    <row r="105" s="159" customFormat="1" x14ac:dyDescent="0.25"/>
    <row r="106" s="159" customFormat="1" x14ac:dyDescent="0.25"/>
    <row r="107" s="159" customFormat="1" x14ac:dyDescent="0.25"/>
    <row r="108" s="159" customFormat="1" x14ac:dyDescent="0.25"/>
    <row r="109" s="159" customFormat="1" x14ac:dyDescent="0.25"/>
    <row r="110" s="159" customFormat="1" x14ac:dyDescent="0.25"/>
    <row r="111" s="159" customFormat="1" x14ac:dyDescent="0.25"/>
    <row r="112" s="159" customFormat="1" x14ac:dyDescent="0.25"/>
    <row r="113" s="159" customFormat="1" x14ac:dyDescent="0.25"/>
    <row r="114" s="159" customFormat="1" x14ac:dyDescent="0.25"/>
    <row r="115" s="159" customFormat="1" x14ac:dyDescent="0.25"/>
    <row r="116" s="159" customFormat="1" x14ac:dyDescent="0.25"/>
    <row r="117" s="159" customFormat="1" x14ac:dyDescent="0.25"/>
    <row r="118" s="159" customFormat="1" x14ac:dyDescent="0.25"/>
    <row r="119" s="159" customFormat="1" x14ac:dyDescent="0.25"/>
    <row r="120" s="159" customFormat="1" x14ac:dyDescent="0.25"/>
    <row r="121" s="159" customFormat="1" x14ac:dyDescent="0.25"/>
    <row r="122" s="159" customFormat="1" x14ac:dyDescent="0.25"/>
    <row r="123" s="159" customFormat="1" x14ac:dyDescent="0.25"/>
    <row r="124" s="159" customFormat="1" x14ac:dyDescent="0.25"/>
    <row r="125" s="159" customFormat="1" x14ac:dyDescent="0.25"/>
    <row r="126" s="159" customFormat="1" x14ac:dyDescent="0.25"/>
    <row r="127" s="159" customFormat="1" x14ac:dyDescent="0.25"/>
    <row r="128" s="159" customFormat="1" x14ac:dyDescent="0.25"/>
    <row r="129" s="159" customFormat="1" x14ac:dyDescent="0.25"/>
    <row r="130" s="159" customFormat="1" x14ac:dyDescent="0.25"/>
    <row r="131" s="159" customFormat="1" x14ac:dyDescent="0.25"/>
    <row r="132" s="159" customFormat="1" x14ac:dyDescent="0.25"/>
    <row r="133" s="159" customFormat="1" x14ac:dyDescent="0.25"/>
    <row r="134" s="159" customFormat="1" x14ac:dyDescent="0.25"/>
    <row r="135" s="159" customFormat="1" x14ac:dyDescent="0.25"/>
    <row r="136" s="159" customFormat="1" x14ac:dyDescent="0.25"/>
    <row r="137" s="159" customFormat="1" x14ac:dyDescent="0.25"/>
    <row r="138" s="159" customFormat="1" x14ac:dyDescent="0.25"/>
    <row r="139" s="159" customFormat="1" x14ac:dyDescent="0.25"/>
    <row r="140" s="159" customFormat="1" x14ac:dyDescent="0.25"/>
    <row r="141" s="159" customFormat="1" x14ac:dyDescent="0.25"/>
    <row r="142" s="159" customFormat="1" x14ac:dyDescent="0.25"/>
    <row r="143" s="159" customFormat="1" x14ac:dyDescent="0.25"/>
    <row r="144" s="159" customFormat="1" x14ac:dyDescent="0.25"/>
    <row r="145" s="159" customFormat="1" x14ac:dyDescent="0.25"/>
    <row r="146" s="159" customFormat="1" x14ac:dyDescent="0.25"/>
    <row r="147" s="159" customFormat="1" x14ac:dyDescent="0.25"/>
    <row r="148" s="159" customFormat="1" x14ac:dyDescent="0.25"/>
    <row r="149" s="159" customFormat="1" x14ac:dyDescent="0.25"/>
    <row r="150" s="159" customFormat="1" x14ac:dyDescent="0.25"/>
    <row r="151" s="159" customFormat="1" x14ac:dyDescent="0.25"/>
    <row r="152" s="159" customFormat="1" x14ac:dyDescent="0.25"/>
    <row r="153" s="159" customFormat="1" x14ac:dyDescent="0.25"/>
    <row r="154" s="159" customFormat="1" x14ac:dyDescent="0.25"/>
    <row r="155" s="159" customFormat="1" x14ac:dyDescent="0.25"/>
    <row r="156" s="159" customFormat="1" x14ac:dyDescent="0.25"/>
    <row r="157" s="159" customFormat="1" x14ac:dyDescent="0.25"/>
    <row r="158" s="159" customFormat="1" x14ac:dyDescent="0.25"/>
    <row r="159" s="159" customFormat="1" x14ac:dyDescent="0.25"/>
    <row r="160" s="159" customFormat="1" x14ac:dyDescent="0.25"/>
    <row r="161" s="159" customFormat="1" x14ac:dyDescent="0.25"/>
    <row r="162" s="159" customFormat="1" x14ac:dyDescent="0.25"/>
    <row r="163" s="159" customFormat="1" x14ac:dyDescent="0.25"/>
    <row r="164" s="159" customFormat="1" x14ac:dyDescent="0.25"/>
    <row r="165" s="159" customFormat="1" x14ac:dyDescent="0.25"/>
    <row r="166" s="159" customFormat="1" x14ac:dyDescent="0.25"/>
    <row r="167" s="159" customFormat="1" x14ac:dyDescent="0.25"/>
    <row r="168" s="159" customFormat="1" x14ac:dyDescent="0.25"/>
    <row r="169" s="159" customFormat="1" x14ac:dyDescent="0.25"/>
    <row r="170" s="159" customFormat="1" x14ac:dyDescent="0.25"/>
    <row r="171" s="159" customFormat="1" x14ac:dyDescent="0.25"/>
    <row r="172" s="159" customFormat="1" x14ac:dyDescent="0.25"/>
    <row r="173" s="159" customFormat="1" x14ac:dyDescent="0.25"/>
    <row r="174" s="159" customFormat="1" x14ac:dyDescent="0.25"/>
    <row r="175" s="159" customFormat="1" x14ac:dyDescent="0.25"/>
    <row r="176" s="159" customFormat="1" x14ac:dyDescent="0.25"/>
    <row r="177" s="159" customFormat="1" x14ac:dyDescent="0.25"/>
    <row r="178" s="159" customFormat="1" x14ac:dyDescent="0.25"/>
    <row r="179" s="159" customFormat="1" x14ac:dyDescent="0.25"/>
    <row r="180" s="159" customFormat="1" x14ac:dyDescent="0.25"/>
    <row r="181" s="159" customFormat="1" x14ac:dyDescent="0.25"/>
    <row r="182" s="159" customFormat="1" x14ac:dyDescent="0.25"/>
    <row r="183" s="159" customFormat="1" x14ac:dyDescent="0.25"/>
    <row r="184" s="159" customFormat="1" x14ac:dyDescent="0.25"/>
    <row r="185" s="159" customFormat="1" x14ac:dyDescent="0.25"/>
    <row r="186" s="159" customFormat="1" x14ac:dyDescent="0.25"/>
    <row r="187" s="159" customFormat="1" x14ac:dyDescent="0.25"/>
    <row r="188" s="159" customFormat="1" x14ac:dyDescent="0.25"/>
    <row r="189" s="159" customFormat="1" x14ac:dyDescent="0.25"/>
    <row r="190" s="159" customFormat="1" x14ac:dyDescent="0.25"/>
    <row r="191" s="159" customFormat="1" x14ac:dyDescent="0.25"/>
    <row r="192" s="159" customFormat="1" x14ac:dyDescent="0.25"/>
    <row r="193" s="159" customFormat="1" x14ac:dyDescent="0.25"/>
    <row r="194" s="159" customFormat="1" x14ac:dyDescent="0.25"/>
    <row r="195" s="159" customFormat="1" x14ac:dyDescent="0.25"/>
    <row r="196" s="159" customFormat="1" x14ac:dyDescent="0.25"/>
    <row r="197" s="159" customFormat="1" x14ac:dyDescent="0.25"/>
    <row r="198" s="159" customFormat="1" x14ac:dyDescent="0.25"/>
    <row r="199" s="159" customFormat="1" x14ac:dyDescent="0.25"/>
    <row r="200" s="159" customFormat="1" x14ac:dyDescent="0.25"/>
    <row r="201" s="159" customFormat="1" x14ac:dyDescent="0.25"/>
    <row r="202" s="159" customFormat="1" x14ac:dyDescent="0.25"/>
    <row r="203" s="159" customFormat="1" x14ac:dyDescent="0.25"/>
    <row r="204" s="159" customFormat="1" x14ac:dyDescent="0.25"/>
    <row r="205" s="159" customFormat="1" x14ac:dyDescent="0.25"/>
    <row r="206" s="159" customFormat="1" x14ac:dyDescent="0.25"/>
    <row r="207" s="159" customFormat="1" x14ac:dyDescent="0.25"/>
    <row r="208" s="159" customFormat="1" x14ac:dyDescent="0.25"/>
    <row r="209" s="159" customFormat="1" x14ac:dyDescent="0.25"/>
    <row r="210" s="159" customFormat="1" x14ac:dyDescent="0.25"/>
    <row r="211" s="159" customFormat="1" x14ac:dyDescent="0.25"/>
    <row r="212" s="159" customFormat="1" x14ac:dyDescent="0.25"/>
    <row r="213" s="159" customFormat="1" x14ac:dyDescent="0.25"/>
    <row r="214" s="159" customFormat="1" x14ac:dyDescent="0.25"/>
    <row r="215" s="159" customFormat="1" x14ac:dyDescent="0.25"/>
    <row r="216" s="159" customFormat="1" x14ac:dyDescent="0.25"/>
    <row r="217" s="159" customFormat="1" x14ac:dyDescent="0.25"/>
    <row r="218" s="159" customFormat="1" x14ac:dyDescent="0.25"/>
    <row r="219" s="159" customFormat="1" x14ac:dyDescent="0.25"/>
    <row r="220" s="159" customFormat="1" x14ac:dyDescent="0.25"/>
    <row r="221" s="159" customFormat="1" x14ac:dyDescent="0.25"/>
    <row r="222" s="159" customFormat="1" x14ac:dyDescent="0.25"/>
    <row r="223" s="159" customFormat="1" x14ac:dyDescent="0.25"/>
    <row r="224" s="159" customFormat="1" x14ac:dyDescent="0.25"/>
    <row r="225" s="159" customFormat="1" x14ac:dyDescent="0.25"/>
    <row r="226" s="159" customFormat="1" x14ac:dyDescent="0.25"/>
    <row r="227" s="159" customFormat="1" x14ac:dyDescent="0.25"/>
    <row r="228" s="159" customFormat="1" x14ac:dyDescent="0.25"/>
    <row r="229" s="159" customFormat="1" x14ac:dyDescent="0.25"/>
    <row r="230" s="159" customFormat="1" x14ac:dyDescent="0.25"/>
    <row r="231" s="159" customFormat="1" x14ac:dyDescent="0.25"/>
    <row r="232" s="159" customFormat="1" x14ac:dyDescent="0.25"/>
    <row r="233" s="159" customFormat="1" x14ac:dyDescent="0.25"/>
    <row r="234" s="159" customFormat="1" x14ac:dyDescent="0.25"/>
    <row r="235" s="159" customFormat="1" x14ac:dyDescent="0.25"/>
    <row r="236" s="159" customFormat="1" x14ac:dyDescent="0.25"/>
  </sheetData>
  <customSheetViews>
    <customSheetView guid="{B6CE57D0-3B00-4AA5-8045-5810B3AC38EF}">
      <selection activeCell="M61" sqref="M61:M69"/>
      <pageMargins left="0.7" right="0.7" top="0.75" bottom="0.75" header="0.3" footer="0.3"/>
    </customSheetView>
    <customSheetView guid="{C5B98205-32EA-4978-BDE9-09FE8244BB3C}" topLeftCell="A4">
      <selection activeCell="C69" sqref="C69:E69"/>
      <pageMargins left="0.7" right="0.7" top="0.75" bottom="0.75" header="0.3" footer="0.3"/>
    </customSheetView>
    <customSheetView guid="{10B7B1F1-9BAA-4B0F-A300-C1E3D2D5095B}">
      <pageMargins left="0.7" right="0.7" top="0.75" bottom="0.75" header="0.3" footer="0.3"/>
    </customSheetView>
    <customSheetView guid="{A0472B5E-ED4B-42A6-A051-1D638E3EAB28}" topLeftCell="A37">
      <selection activeCell="H48" sqref="H48"/>
      <pageMargins left="0.7" right="0.7" top="0.75" bottom="0.75" header="0.3" footer="0.3"/>
      <pageSetup paperSize="9" orientation="portrait" r:id="rId1"/>
    </customSheetView>
  </customSheetViews>
  <mergeCells count="10">
    <mergeCell ref="C53:E53"/>
    <mergeCell ref="F53:H53"/>
    <mergeCell ref="I53:K53"/>
    <mergeCell ref="L53:N53"/>
    <mergeCell ref="B6:C6"/>
    <mergeCell ref="B7:C7"/>
    <mergeCell ref="B8:C8"/>
    <mergeCell ref="B11:I11"/>
    <mergeCell ref="B22:I22"/>
    <mergeCell ref="B40:F40"/>
  </mergeCells>
  <pageMargins left="0.7" right="0.7" top="0.75" bottom="0.75" header="0.3" footer="0.3"/>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42"/>
  <sheetViews>
    <sheetView workbookViewId="0">
      <selection activeCell="C71" sqref="C71"/>
    </sheetView>
  </sheetViews>
  <sheetFormatPr defaultRowHeight="15" x14ac:dyDescent="0.25"/>
  <cols>
    <col min="1" max="1" width="13.85546875" customWidth="1"/>
    <col min="2" max="2" width="21.140625" customWidth="1"/>
    <col min="3" max="3" width="21.7109375" customWidth="1"/>
    <col min="4" max="4" width="15.5703125" customWidth="1"/>
    <col min="5" max="6" width="13.7109375" customWidth="1"/>
    <col min="7" max="7" width="12.85546875" customWidth="1"/>
    <col min="8" max="8" width="14.42578125" customWidth="1"/>
    <col min="9" max="9" width="19.85546875" customWidth="1"/>
    <col min="10" max="14" width="13.7109375" customWidth="1"/>
    <col min="15" max="25" width="11.85546875" customWidth="1"/>
    <col min="26" max="28" width="29.85546875" customWidth="1"/>
  </cols>
  <sheetData>
    <row r="1" spans="1:12" ht="23.25" x14ac:dyDescent="0.35">
      <c r="A1" s="12" t="s">
        <v>39</v>
      </c>
      <c r="B1" s="12"/>
      <c r="C1" s="77" t="s">
        <v>69</v>
      </c>
      <c r="I1" s="74"/>
    </row>
    <row r="2" spans="1:12" ht="23.25" x14ac:dyDescent="0.35">
      <c r="A2" s="56" t="s">
        <v>40</v>
      </c>
      <c r="B2" s="12"/>
      <c r="C2" s="62">
        <f>SUM(D60+G60+J60+M60)</f>
        <v>5073946</v>
      </c>
      <c r="I2" s="74"/>
    </row>
    <row r="4" spans="1:12" s="13" customFormat="1" ht="21" x14ac:dyDescent="0.35">
      <c r="A4" s="13" t="s">
        <v>42</v>
      </c>
    </row>
    <row r="5" spans="1:12" ht="24" thickBot="1" x14ac:dyDescent="0.4">
      <c r="A5" s="77" t="s">
        <v>138</v>
      </c>
      <c r="D5" s="3"/>
    </row>
    <row r="6" spans="1:12" ht="16.5" customHeight="1" x14ac:dyDescent="0.25">
      <c r="B6" s="251" t="s">
        <v>7</v>
      </c>
      <c r="C6" s="252"/>
      <c r="D6" s="66">
        <f>H14</f>
        <v>6530333.3333333367</v>
      </c>
    </row>
    <row r="7" spans="1:12" ht="16.5" customHeight="1" x14ac:dyDescent="0.25">
      <c r="B7" s="253" t="s">
        <v>8</v>
      </c>
      <c r="C7" s="254"/>
      <c r="D7" s="67">
        <f>H27</f>
        <v>11654279.333333336</v>
      </c>
    </row>
    <row r="8" spans="1:12" ht="16.5" customHeight="1" thickBot="1" x14ac:dyDescent="0.3">
      <c r="B8" s="255" t="s">
        <v>9</v>
      </c>
      <c r="C8" s="256"/>
      <c r="D8" s="73">
        <f>D6-D7</f>
        <v>-5123945.9999999991</v>
      </c>
    </row>
    <row r="9" spans="1:12" ht="16.5" customHeight="1" x14ac:dyDescent="0.25">
      <c r="B9" s="76"/>
      <c r="C9" s="76"/>
    </row>
    <row r="10" spans="1:12" ht="16.5" customHeight="1" x14ac:dyDescent="0.25">
      <c r="A10" s="75"/>
    </row>
    <row r="11" spans="1:12" ht="16.5" customHeight="1" x14ac:dyDescent="0.25">
      <c r="B11" s="257" t="s">
        <v>58</v>
      </c>
      <c r="C11" s="258"/>
      <c r="D11" s="258"/>
      <c r="E11" s="258"/>
      <c r="F11" s="258"/>
      <c r="G11" s="258"/>
      <c r="H11" s="258"/>
      <c r="I11" s="258"/>
    </row>
    <row r="12" spans="1:12" ht="16.5" customHeight="1" thickBot="1" x14ac:dyDescent="0.3">
      <c r="B12" s="4"/>
      <c r="C12" s="4"/>
    </row>
    <row r="13" spans="1:12" s="81" customFormat="1" ht="67.5" customHeight="1" thickBot="1" x14ac:dyDescent="0.4">
      <c r="A13" s="79"/>
      <c r="B13" s="55" t="s">
        <v>38</v>
      </c>
      <c r="C13" s="18">
        <v>2022</v>
      </c>
      <c r="D13" s="18">
        <v>2023</v>
      </c>
      <c r="E13" s="18">
        <v>2024</v>
      </c>
      <c r="F13" s="18">
        <v>2025</v>
      </c>
      <c r="G13" s="18">
        <v>2026</v>
      </c>
      <c r="H13" s="44" t="s">
        <v>10</v>
      </c>
      <c r="I13" s="47" t="s">
        <v>36</v>
      </c>
      <c r="J13" s="40"/>
      <c r="K13" s="41"/>
      <c r="L13" s="41"/>
    </row>
    <row r="14" spans="1:12" s="81" customFormat="1" ht="16.5" customHeight="1" x14ac:dyDescent="0.25">
      <c r="B14" s="48" t="s">
        <v>6</v>
      </c>
      <c r="C14" s="49">
        <f t="shared" ref="C14:H14" si="0">SUM(C15+C18)</f>
        <v>1892733.3333333367</v>
      </c>
      <c r="D14" s="49">
        <f t="shared" si="0"/>
        <v>1159400</v>
      </c>
      <c r="E14" s="49">
        <f t="shared" si="0"/>
        <v>1159400</v>
      </c>
      <c r="F14" s="49">
        <f t="shared" si="0"/>
        <v>1159400</v>
      </c>
      <c r="G14" s="49">
        <f t="shared" si="0"/>
        <v>1159400</v>
      </c>
      <c r="H14" s="65">
        <f t="shared" si="0"/>
        <v>6530333.3333333367</v>
      </c>
      <c r="I14" s="50"/>
      <c r="J14" s="42"/>
      <c r="K14" s="75"/>
      <c r="L14" s="43"/>
    </row>
    <row r="15" spans="1:12" s="81" customFormat="1" ht="16.5" customHeight="1" x14ac:dyDescent="0.25">
      <c r="B15" s="45" t="s">
        <v>44</v>
      </c>
      <c r="C15" s="46">
        <f t="shared" ref="C15:H15" si="1">SUM(C16:C17)</f>
        <v>733333.33333333663</v>
      </c>
      <c r="D15" s="46">
        <f t="shared" si="1"/>
        <v>0</v>
      </c>
      <c r="E15" s="46">
        <f t="shared" si="1"/>
        <v>0</v>
      </c>
      <c r="F15" s="46">
        <f t="shared" si="1"/>
        <v>0</v>
      </c>
      <c r="G15" s="46">
        <f t="shared" si="1"/>
        <v>0</v>
      </c>
      <c r="H15" s="46">
        <f t="shared" si="1"/>
        <v>733333.33333333663</v>
      </c>
      <c r="I15" s="125"/>
      <c r="J15" s="42"/>
      <c r="K15" s="43"/>
      <c r="L15" s="43"/>
    </row>
    <row r="16" spans="1:12" s="81" customFormat="1" ht="16.5" customHeight="1" x14ac:dyDescent="0.25">
      <c r="B16" s="9" t="s">
        <v>46</v>
      </c>
      <c r="C16" s="15">
        <v>733333.33333333663</v>
      </c>
      <c r="D16" s="15">
        <v>0</v>
      </c>
      <c r="E16" s="15">
        <v>0</v>
      </c>
      <c r="F16" s="15">
        <v>0</v>
      </c>
      <c r="G16" s="15">
        <v>0</v>
      </c>
      <c r="H16" s="37">
        <f t="shared" ref="H16:H22" si="2">SUM(C16:G16)</f>
        <v>733333.33333333663</v>
      </c>
      <c r="I16" s="125" t="s">
        <v>129</v>
      </c>
      <c r="J16" s="42"/>
      <c r="K16" s="43"/>
      <c r="L16" s="43"/>
    </row>
    <row r="17" spans="1:12" s="81" customFormat="1" ht="16.5" customHeight="1" x14ac:dyDescent="0.25">
      <c r="B17" s="9" t="s">
        <v>41</v>
      </c>
      <c r="C17" s="15"/>
      <c r="D17" s="15"/>
      <c r="E17" s="15"/>
      <c r="F17" s="15"/>
      <c r="G17" s="15"/>
      <c r="H17" s="37">
        <f t="shared" si="2"/>
        <v>0</v>
      </c>
      <c r="I17" s="125"/>
      <c r="J17" s="42"/>
      <c r="K17" s="43"/>
      <c r="L17" s="43"/>
    </row>
    <row r="18" spans="1:12" s="81" customFormat="1" ht="16.5" customHeight="1" x14ac:dyDescent="0.25">
      <c r="B18" s="45" t="s">
        <v>45</v>
      </c>
      <c r="C18" s="46">
        <f t="shared" ref="C18:H18" si="3">SUM(C19:C22)</f>
        <v>1159400</v>
      </c>
      <c r="D18" s="46">
        <f t="shared" si="3"/>
        <v>1159400</v>
      </c>
      <c r="E18" s="46">
        <f t="shared" si="3"/>
        <v>1159400</v>
      </c>
      <c r="F18" s="46">
        <f t="shared" si="3"/>
        <v>1159400</v>
      </c>
      <c r="G18" s="46">
        <f t="shared" si="3"/>
        <v>1159400</v>
      </c>
      <c r="H18" s="46">
        <f t="shared" si="3"/>
        <v>5797000</v>
      </c>
      <c r="I18" s="125"/>
      <c r="J18" s="42"/>
      <c r="K18" s="43"/>
      <c r="L18" s="43"/>
    </row>
    <row r="19" spans="1:12" s="81" customFormat="1" ht="16.5" customHeight="1" x14ac:dyDescent="0.25">
      <c r="B19" s="9" t="s">
        <v>217</v>
      </c>
      <c r="C19" s="15">
        <v>392400</v>
      </c>
      <c r="D19" s="15">
        <f>C19</f>
        <v>392400</v>
      </c>
      <c r="E19" s="15">
        <f t="shared" ref="D19:G21" si="4">D19</f>
        <v>392400</v>
      </c>
      <c r="F19" s="15">
        <f t="shared" si="4"/>
        <v>392400</v>
      </c>
      <c r="G19" s="15">
        <f t="shared" si="4"/>
        <v>392400</v>
      </c>
      <c r="H19" s="37">
        <f t="shared" si="2"/>
        <v>1962000</v>
      </c>
      <c r="I19" s="125" t="s">
        <v>129</v>
      </c>
      <c r="J19" s="42"/>
      <c r="K19" s="43"/>
      <c r="L19" s="43"/>
    </row>
    <row r="20" spans="1:12" s="81" customFormat="1" ht="16.5" customHeight="1" x14ac:dyDescent="0.25">
      <c r="B20" s="9" t="s">
        <v>210</v>
      </c>
      <c r="C20" s="15">
        <v>42000</v>
      </c>
      <c r="D20" s="15">
        <f>C20</f>
        <v>42000</v>
      </c>
      <c r="E20" s="15">
        <f t="shared" si="4"/>
        <v>42000</v>
      </c>
      <c r="F20" s="15">
        <f t="shared" si="4"/>
        <v>42000</v>
      </c>
      <c r="G20" s="15">
        <f t="shared" si="4"/>
        <v>42000</v>
      </c>
      <c r="H20" s="37">
        <f t="shared" si="2"/>
        <v>210000</v>
      </c>
      <c r="I20" s="125" t="s">
        <v>129</v>
      </c>
      <c r="J20" s="42"/>
      <c r="K20" s="43"/>
      <c r="L20" s="43"/>
    </row>
    <row r="21" spans="1:12" s="81" customFormat="1" ht="16.5" customHeight="1" x14ac:dyDescent="0.25">
      <c r="B21" s="9" t="s">
        <v>218</v>
      </c>
      <c r="C21" s="15">
        <v>725000</v>
      </c>
      <c r="D21" s="15">
        <f t="shared" si="4"/>
        <v>725000</v>
      </c>
      <c r="E21" s="15">
        <f t="shared" si="4"/>
        <v>725000</v>
      </c>
      <c r="F21" s="15">
        <f t="shared" si="4"/>
        <v>725000</v>
      </c>
      <c r="G21" s="15">
        <f t="shared" si="4"/>
        <v>725000</v>
      </c>
      <c r="H21" s="37">
        <f t="shared" si="2"/>
        <v>3625000</v>
      </c>
      <c r="I21" s="125" t="s">
        <v>129</v>
      </c>
      <c r="J21" s="42"/>
      <c r="K21" s="43"/>
      <c r="L21" s="43"/>
    </row>
    <row r="22" spans="1:12" s="81" customFormat="1" ht="16.5" customHeight="1" thickBot="1" x14ac:dyDescent="0.3">
      <c r="B22" s="51" t="s">
        <v>1</v>
      </c>
      <c r="C22" s="52"/>
      <c r="D22" s="52"/>
      <c r="E22" s="52"/>
      <c r="F22" s="52"/>
      <c r="G22" s="52"/>
      <c r="H22" s="54">
        <f t="shared" si="2"/>
        <v>0</v>
      </c>
      <c r="I22" s="126"/>
      <c r="J22" s="42"/>
      <c r="K22" s="43"/>
      <c r="L22" s="43"/>
    </row>
    <row r="23" spans="1:12" s="81" customFormat="1" ht="16.5" customHeight="1" x14ac:dyDescent="0.25">
      <c r="B23" s="58"/>
      <c r="C23" s="59"/>
      <c r="D23" s="59"/>
      <c r="E23" s="59"/>
      <c r="F23" s="59"/>
      <c r="G23" s="59"/>
      <c r="H23" s="59"/>
      <c r="I23" s="59"/>
      <c r="J23" s="42"/>
      <c r="K23" s="43"/>
      <c r="L23" s="43"/>
    </row>
    <row r="24" spans="1:12" s="81" customFormat="1" ht="16.5" customHeight="1" x14ac:dyDescent="0.25">
      <c r="B24" s="259" t="s">
        <v>59</v>
      </c>
      <c r="C24" s="260"/>
      <c r="D24" s="260"/>
      <c r="E24" s="260"/>
      <c r="F24" s="260"/>
      <c r="G24" s="260"/>
      <c r="H24" s="260"/>
      <c r="I24" s="260"/>
    </row>
    <row r="25" spans="1:12" s="81" customFormat="1" ht="16.5" customHeight="1" thickBot="1" x14ac:dyDescent="0.3"/>
    <row r="26" spans="1:12" s="81" customFormat="1" ht="66.75" customHeight="1" thickBot="1" x14ac:dyDescent="0.4">
      <c r="A26" s="79"/>
      <c r="B26" s="55" t="s">
        <v>38</v>
      </c>
      <c r="C26" s="18">
        <v>2022</v>
      </c>
      <c r="D26" s="18">
        <v>2023</v>
      </c>
      <c r="E26" s="18">
        <v>2024</v>
      </c>
      <c r="F26" s="18">
        <v>2025</v>
      </c>
      <c r="G26" s="18">
        <v>2026</v>
      </c>
      <c r="H26" s="44" t="s">
        <v>10</v>
      </c>
      <c r="I26" s="47" t="s">
        <v>36</v>
      </c>
      <c r="J26" s="40"/>
      <c r="K26" s="41"/>
      <c r="L26" s="41"/>
    </row>
    <row r="27" spans="1:12" s="81" customFormat="1" ht="16.5" customHeight="1" x14ac:dyDescent="0.25">
      <c r="B27" s="48" t="s">
        <v>6</v>
      </c>
      <c r="C27" s="49">
        <f t="shared" ref="C27:H27" si="5">SUM(C28+C32)</f>
        <v>2888079.3333333367</v>
      </c>
      <c r="D27" s="49">
        <f t="shared" si="5"/>
        <v>2505600</v>
      </c>
      <c r="E27" s="49">
        <f t="shared" si="5"/>
        <v>2518600</v>
      </c>
      <c r="F27" s="49">
        <f t="shared" si="5"/>
        <v>2532600</v>
      </c>
      <c r="G27" s="49">
        <f t="shared" si="5"/>
        <v>1209400</v>
      </c>
      <c r="H27" s="65">
        <f t="shared" si="5"/>
        <v>11654279.333333336</v>
      </c>
      <c r="I27" s="50"/>
      <c r="J27" s="42"/>
      <c r="K27" s="43"/>
      <c r="L27" s="43"/>
    </row>
    <row r="28" spans="1:12" s="81" customFormat="1" ht="16.5" customHeight="1" x14ac:dyDescent="0.25">
      <c r="B28" s="45" t="s">
        <v>44</v>
      </c>
      <c r="C28" s="46">
        <f t="shared" ref="C28:H28" si="6">SUM(C29:C31)</f>
        <v>1394633.3333333367</v>
      </c>
      <c r="D28" s="46">
        <f t="shared" si="6"/>
        <v>1000000</v>
      </c>
      <c r="E28" s="46">
        <f t="shared" si="6"/>
        <v>1000000</v>
      </c>
      <c r="F28" s="46">
        <f t="shared" si="6"/>
        <v>1000000</v>
      </c>
      <c r="G28" s="46">
        <f t="shared" si="6"/>
        <v>0</v>
      </c>
      <c r="H28" s="46">
        <f t="shared" si="6"/>
        <v>4394633.3333333367</v>
      </c>
      <c r="I28" s="16"/>
      <c r="J28" s="42"/>
      <c r="L28" s="43"/>
    </row>
    <row r="29" spans="1:12" s="81" customFormat="1" ht="16.5" customHeight="1" x14ac:dyDescent="0.25">
      <c r="B29" s="63" t="s">
        <v>37</v>
      </c>
      <c r="C29" s="64">
        <f>D61</f>
        <v>661300</v>
      </c>
      <c r="D29" s="64">
        <f>G61</f>
        <v>1000000</v>
      </c>
      <c r="E29" s="64">
        <f>J61</f>
        <v>1000000</v>
      </c>
      <c r="F29" s="64">
        <f>M61</f>
        <v>1000000</v>
      </c>
      <c r="G29" s="46"/>
      <c r="H29" s="46">
        <f t="shared" ref="H29:H31" si="7">SUM(C29:G29)</f>
        <v>3661300</v>
      </c>
      <c r="I29" s="16"/>
      <c r="J29" s="42"/>
      <c r="L29" s="43"/>
    </row>
    <row r="30" spans="1:12" s="81" customFormat="1" ht="16.5" customHeight="1" x14ac:dyDescent="0.25">
      <c r="B30" s="9" t="s">
        <v>46</v>
      </c>
      <c r="C30" s="15">
        <v>733333.33333333663</v>
      </c>
      <c r="D30" s="15">
        <v>0</v>
      </c>
      <c r="E30" s="15">
        <v>0</v>
      </c>
      <c r="F30" s="15">
        <v>0</v>
      </c>
      <c r="G30" s="15">
        <v>0</v>
      </c>
      <c r="H30" s="37">
        <f t="shared" si="7"/>
        <v>733333.33333333663</v>
      </c>
      <c r="I30" s="125" t="s">
        <v>129</v>
      </c>
      <c r="J30" s="42"/>
      <c r="K30" s="43"/>
      <c r="L30" s="43"/>
    </row>
    <row r="31" spans="1:12" s="81" customFormat="1" ht="16.5" customHeight="1" x14ac:dyDescent="0.25">
      <c r="B31" s="9" t="s">
        <v>1</v>
      </c>
      <c r="C31" s="15"/>
      <c r="D31" s="15"/>
      <c r="E31" s="15"/>
      <c r="F31" s="15"/>
      <c r="G31" s="15"/>
      <c r="H31" s="15">
        <f t="shared" si="7"/>
        <v>0</v>
      </c>
      <c r="I31" s="16"/>
      <c r="J31" s="42"/>
      <c r="K31" s="43"/>
      <c r="L31" s="43"/>
    </row>
    <row r="32" spans="1:12" s="81" customFormat="1" ht="16.5" customHeight="1" x14ac:dyDescent="0.25">
      <c r="B32" s="45" t="s">
        <v>45</v>
      </c>
      <c r="C32" s="46">
        <f t="shared" ref="C32:H32" si="8">SUM(C33:C38)</f>
        <v>1493446</v>
      </c>
      <c r="D32" s="46">
        <f t="shared" si="8"/>
        <v>1505600</v>
      </c>
      <c r="E32" s="46">
        <f t="shared" si="8"/>
        <v>1518600</v>
      </c>
      <c r="F32" s="46">
        <f t="shared" si="8"/>
        <v>1532600</v>
      </c>
      <c r="G32" s="46">
        <f t="shared" si="8"/>
        <v>1209400</v>
      </c>
      <c r="H32" s="46">
        <f t="shared" si="8"/>
        <v>7259646</v>
      </c>
      <c r="I32" s="16"/>
      <c r="J32" s="42"/>
      <c r="K32" s="43"/>
      <c r="L32" s="43"/>
    </row>
    <row r="33" spans="1:13" s="81" customFormat="1" ht="16.5" customHeight="1" x14ac:dyDescent="0.25">
      <c r="B33" s="63" t="s">
        <v>55</v>
      </c>
      <c r="C33" s="64">
        <f>D65</f>
        <v>174046</v>
      </c>
      <c r="D33" s="64">
        <f>G65</f>
        <v>186200</v>
      </c>
      <c r="E33" s="64">
        <f>J65</f>
        <v>199200</v>
      </c>
      <c r="F33" s="64">
        <f>M65</f>
        <v>213200</v>
      </c>
      <c r="G33" s="46">
        <v>50000</v>
      </c>
      <c r="H33" s="15">
        <f t="shared" ref="H33:H38" si="9">SUM(C33:G33)</f>
        <v>822646</v>
      </c>
      <c r="I33" s="16"/>
      <c r="J33" s="42"/>
      <c r="K33" s="43"/>
      <c r="L33" s="43"/>
    </row>
    <row r="34" spans="1:13" s="81" customFormat="1" ht="16.5" customHeight="1" x14ac:dyDescent="0.25">
      <c r="B34" s="63" t="s">
        <v>56</v>
      </c>
      <c r="C34" s="64">
        <f>D75</f>
        <v>160000</v>
      </c>
      <c r="D34" s="64">
        <f>G75</f>
        <v>160000</v>
      </c>
      <c r="E34" s="64">
        <f>J75</f>
        <v>160000</v>
      </c>
      <c r="F34" s="64">
        <f>M75</f>
        <v>160000</v>
      </c>
      <c r="G34" s="46"/>
      <c r="H34" s="15">
        <f>SUM(C34:G34)</f>
        <v>640000</v>
      </c>
      <c r="I34" s="16"/>
      <c r="J34" s="42"/>
      <c r="K34" s="43"/>
      <c r="L34" s="43"/>
    </row>
    <row r="35" spans="1:13" s="81" customFormat="1" ht="16.5" customHeight="1" x14ac:dyDescent="0.25">
      <c r="B35" s="9" t="s">
        <v>217</v>
      </c>
      <c r="C35" s="15">
        <v>392400</v>
      </c>
      <c r="D35" s="15">
        <f>C35</f>
        <v>392400</v>
      </c>
      <c r="E35" s="15">
        <f t="shared" ref="E35:G35" si="10">D35</f>
        <v>392400</v>
      </c>
      <c r="F35" s="15">
        <f t="shared" si="10"/>
        <v>392400</v>
      </c>
      <c r="G35" s="15">
        <f t="shared" si="10"/>
        <v>392400</v>
      </c>
      <c r="H35" s="37">
        <f t="shared" ref="H35:H37" si="11">SUM(C35:G35)</f>
        <v>1962000</v>
      </c>
      <c r="I35" s="125" t="s">
        <v>129</v>
      </c>
      <c r="J35" s="42"/>
      <c r="K35" s="43"/>
      <c r="L35" s="43"/>
    </row>
    <row r="36" spans="1:13" s="81" customFormat="1" ht="16.5" customHeight="1" x14ac:dyDescent="0.25">
      <c r="B36" s="9" t="s">
        <v>210</v>
      </c>
      <c r="C36" s="15">
        <v>42000</v>
      </c>
      <c r="D36" s="15">
        <f>C36</f>
        <v>42000</v>
      </c>
      <c r="E36" s="15">
        <f t="shared" ref="E36:G36" si="12">D36</f>
        <v>42000</v>
      </c>
      <c r="F36" s="15">
        <f t="shared" si="12"/>
        <v>42000</v>
      </c>
      <c r="G36" s="15">
        <f t="shared" si="12"/>
        <v>42000</v>
      </c>
      <c r="H36" s="37">
        <f t="shared" si="11"/>
        <v>210000</v>
      </c>
      <c r="I36" s="125" t="s">
        <v>129</v>
      </c>
      <c r="J36" s="42"/>
      <c r="K36" s="43"/>
      <c r="L36" s="43"/>
      <c r="M36" s="36"/>
    </row>
    <row r="37" spans="1:13" s="81" customFormat="1" ht="16.5" customHeight="1" x14ac:dyDescent="0.25">
      <c r="B37" s="9" t="s">
        <v>218</v>
      </c>
      <c r="C37" s="15">
        <v>725000</v>
      </c>
      <c r="D37" s="15">
        <f t="shared" ref="D37:G37" si="13">C37</f>
        <v>725000</v>
      </c>
      <c r="E37" s="15">
        <f t="shared" si="13"/>
        <v>725000</v>
      </c>
      <c r="F37" s="15">
        <f t="shared" si="13"/>
        <v>725000</v>
      </c>
      <c r="G37" s="15">
        <f t="shared" si="13"/>
        <v>725000</v>
      </c>
      <c r="H37" s="37">
        <f t="shared" si="11"/>
        <v>3625000</v>
      </c>
      <c r="I37" s="125" t="s">
        <v>129</v>
      </c>
      <c r="J37" s="42"/>
      <c r="K37" s="43"/>
      <c r="L37" s="43"/>
    </row>
    <row r="38" spans="1:13" s="81" customFormat="1" ht="16.5" customHeight="1" thickBot="1" x14ac:dyDescent="0.3">
      <c r="B38" s="51" t="s">
        <v>41</v>
      </c>
      <c r="C38" s="52"/>
      <c r="D38" s="52"/>
      <c r="E38" s="52"/>
      <c r="F38" s="52"/>
      <c r="G38" s="52"/>
      <c r="H38" s="52">
        <f t="shared" si="9"/>
        <v>0</v>
      </c>
      <c r="I38" s="53"/>
      <c r="J38" s="42"/>
      <c r="K38" s="43"/>
      <c r="L38" s="43"/>
    </row>
    <row r="39" spans="1:13" ht="16.5" customHeight="1" x14ac:dyDescent="0.25">
      <c r="J39" s="5"/>
    </row>
    <row r="40" spans="1:13" s="81" customFormat="1" ht="45" x14ac:dyDescent="0.35">
      <c r="A40" s="80"/>
      <c r="B40" s="69" t="s">
        <v>11</v>
      </c>
      <c r="C40" s="70" t="s">
        <v>15</v>
      </c>
      <c r="D40" s="68" t="s">
        <v>16</v>
      </c>
      <c r="E40" s="68" t="s">
        <v>60</v>
      </c>
      <c r="F40" s="68" t="s">
        <v>19</v>
      </c>
    </row>
    <row r="41" spans="1:13" s="81" customFormat="1" ht="135" x14ac:dyDescent="0.25">
      <c r="B41" s="8" t="s">
        <v>17</v>
      </c>
      <c r="C41" s="175" t="s">
        <v>260</v>
      </c>
      <c r="D41" s="175" t="s">
        <v>261</v>
      </c>
      <c r="E41" s="175" t="s">
        <v>262</v>
      </c>
      <c r="F41" s="175" t="s">
        <v>266</v>
      </c>
    </row>
    <row r="42" spans="1:13" s="81" customFormat="1" ht="75" x14ac:dyDescent="0.25">
      <c r="B42" s="8" t="s">
        <v>18</v>
      </c>
      <c r="C42" s="175" t="s">
        <v>264</v>
      </c>
      <c r="D42" s="175" t="s">
        <v>265</v>
      </c>
      <c r="E42" s="175" t="s">
        <v>263</v>
      </c>
      <c r="F42" s="175" t="s">
        <v>267</v>
      </c>
    </row>
    <row r="43" spans="1:13" s="183" customFormat="1" ht="75" x14ac:dyDescent="0.25">
      <c r="B43" s="8" t="s">
        <v>71</v>
      </c>
      <c r="C43" s="175" t="s">
        <v>275</v>
      </c>
      <c r="D43" s="175" t="s">
        <v>276</v>
      </c>
      <c r="E43" s="175" t="s">
        <v>277</v>
      </c>
      <c r="F43" s="175" t="s">
        <v>278</v>
      </c>
    </row>
    <row r="44" spans="1:13" s="81" customFormat="1" x14ac:dyDescent="0.25"/>
    <row r="45" spans="1:13" s="81" customFormat="1" ht="46.5" customHeight="1" x14ac:dyDescent="0.25">
      <c r="B45" s="261" t="s">
        <v>57</v>
      </c>
      <c r="C45" s="262"/>
      <c r="D45" s="262"/>
      <c r="E45" s="262"/>
      <c r="F45" s="262"/>
      <c r="G45" s="68" t="s">
        <v>15</v>
      </c>
      <c r="H45" s="68" t="s">
        <v>16</v>
      </c>
      <c r="I45" s="68" t="s">
        <v>60</v>
      </c>
      <c r="J45" s="68" t="s">
        <v>19</v>
      </c>
    </row>
    <row r="46" spans="1:13" s="81" customFormat="1" x14ac:dyDescent="0.25">
      <c r="B46" s="11" t="s">
        <v>26</v>
      </c>
      <c r="C46" s="19"/>
      <c r="D46" s="19"/>
      <c r="E46" s="19"/>
      <c r="F46" s="20"/>
      <c r="G46" s="10"/>
      <c r="H46" s="10"/>
      <c r="I46" s="10"/>
      <c r="J46" s="10"/>
    </row>
    <row r="47" spans="1:13" s="81" customFormat="1" x14ac:dyDescent="0.25">
      <c r="B47" s="11" t="s">
        <v>20</v>
      </c>
      <c r="C47" s="19"/>
      <c r="D47" s="19"/>
      <c r="E47" s="19"/>
      <c r="F47" s="20"/>
      <c r="G47" s="10"/>
      <c r="H47" s="10"/>
      <c r="I47" s="10"/>
      <c r="J47" s="10"/>
    </row>
    <row r="48" spans="1:13" s="81" customFormat="1" x14ac:dyDescent="0.25">
      <c r="B48" s="11" t="s">
        <v>27</v>
      </c>
      <c r="C48" s="19"/>
      <c r="D48" s="19"/>
      <c r="E48" s="19"/>
      <c r="F48" s="20"/>
      <c r="G48" s="10"/>
      <c r="H48" s="86"/>
      <c r="I48" s="10"/>
      <c r="J48" s="10"/>
    </row>
    <row r="49" spans="1:14" s="81" customFormat="1" x14ac:dyDescent="0.25">
      <c r="B49" s="11" t="s">
        <v>21</v>
      </c>
      <c r="C49" s="19"/>
      <c r="D49" s="19"/>
      <c r="E49" s="19"/>
      <c r="F49" s="20"/>
      <c r="G49" s="10"/>
      <c r="H49" s="10"/>
      <c r="I49" s="10"/>
      <c r="J49" s="10"/>
    </row>
    <row r="50" spans="1:14" s="81" customFormat="1" x14ac:dyDescent="0.25">
      <c r="B50" s="11" t="s">
        <v>22</v>
      </c>
      <c r="C50" s="19"/>
      <c r="D50" s="19"/>
      <c r="E50" s="19"/>
      <c r="F50" s="20"/>
      <c r="G50" s="10"/>
      <c r="H50" s="10"/>
      <c r="I50" s="10"/>
      <c r="J50" s="10"/>
    </row>
    <row r="51" spans="1:14" s="81" customFormat="1" x14ac:dyDescent="0.25">
      <c r="B51" s="11" t="s">
        <v>23</v>
      </c>
      <c r="C51" s="21"/>
      <c r="D51" s="21"/>
      <c r="E51" s="21"/>
      <c r="F51" s="22"/>
      <c r="G51" s="10"/>
      <c r="H51" s="10"/>
      <c r="I51" s="10"/>
      <c r="J51" s="10"/>
    </row>
    <row r="52" spans="1:14" s="81" customFormat="1" x14ac:dyDescent="0.25">
      <c r="B52" s="11" t="s">
        <v>24</v>
      </c>
      <c r="C52" s="19"/>
      <c r="D52" s="19"/>
      <c r="E52" s="19"/>
      <c r="F52" s="20"/>
      <c r="G52" s="10"/>
      <c r="H52" s="10"/>
      <c r="I52" s="10"/>
      <c r="J52" s="10"/>
    </row>
    <row r="53" spans="1:14" s="81" customFormat="1" x14ac:dyDescent="0.25">
      <c r="B53" s="11" t="s">
        <v>25</v>
      </c>
      <c r="C53" s="19"/>
      <c r="D53" s="19"/>
      <c r="E53" s="19"/>
      <c r="F53" s="20"/>
      <c r="G53" s="10"/>
      <c r="H53" s="10"/>
      <c r="I53" s="10"/>
      <c r="J53" s="10"/>
    </row>
    <row r="54" spans="1:14" s="81" customFormat="1" x14ac:dyDescent="0.25">
      <c r="B54" s="11" t="s">
        <v>1</v>
      </c>
      <c r="C54" s="19"/>
      <c r="D54" s="19"/>
      <c r="E54" s="19"/>
      <c r="F54" s="20"/>
      <c r="G54" s="10"/>
      <c r="H54" s="10"/>
      <c r="I54" s="10"/>
      <c r="J54" s="10"/>
    </row>
    <row r="55" spans="1:14" s="81" customFormat="1" x14ac:dyDescent="0.25"/>
    <row r="56" spans="1:14" s="7" customFormat="1" ht="21" x14ac:dyDescent="0.25">
      <c r="A56" s="23" t="s">
        <v>14</v>
      </c>
    </row>
    <row r="57" spans="1:14" s="81" customFormat="1" ht="19.5" thickBot="1" x14ac:dyDescent="0.35">
      <c r="A57" s="6"/>
      <c r="D57" s="228">
        <f>'RES IKT lisataotlused kokku'!H8-'RES7'!D60</f>
        <v>0</v>
      </c>
    </row>
    <row r="58" spans="1:14" ht="14.25" customHeight="1" x14ac:dyDescent="0.25">
      <c r="A58" s="23"/>
      <c r="C58" s="263">
        <v>2022</v>
      </c>
      <c r="D58" s="264"/>
      <c r="E58" s="265"/>
      <c r="F58" s="263">
        <v>2023</v>
      </c>
      <c r="G58" s="264"/>
      <c r="H58" s="265"/>
      <c r="I58" s="263">
        <v>2024</v>
      </c>
      <c r="J58" s="264"/>
      <c r="K58" s="265"/>
      <c r="L58" s="263">
        <v>2025</v>
      </c>
      <c r="M58" s="264"/>
      <c r="N58" s="265"/>
    </row>
    <row r="59" spans="1:14" ht="21" x14ac:dyDescent="0.35">
      <c r="A59" s="79"/>
      <c r="B59" s="24" t="s">
        <v>28</v>
      </c>
      <c r="C59" s="71" t="s">
        <v>12</v>
      </c>
      <c r="D59" s="14" t="s">
        <v>31</v>
      </c>
      <c r="E59" s="72" t="s">
        <v>30</v>
      </c>
      <c r="F59" s="71" t="s">
        <v>12</v>
      </c>
      <c r="G59" s="14" t="s">
        <v>31</v>
      </c>
      <c r="H59" s="72" t="s">
        <v>30</v>
      </c>
      <c r="I59" s="71" t="s">
        <v>12</v>
      </c>
      <c r="J59" s="14" t="s">
        <v>31</v>
      </c>
      <c r="K59" s="72" t="s">
        <v>30</v>
      </c>
      <c r="L59" s="71" t="s">
        <v>12</v>
      </c>
      <c r="M59" s="14" t="s">
        <v>31</v>
      </c>
      <c r="N59" s="72" t="s">
        <v>30</v>
      </c>
    </row>
    <row r="60" spans="1:14" ht="21" x14ac:dyDescent="0.35">
      <c r="A60" s="79"/>
      <c r="B60" s="24" t="s">
        <v>6</v>
      </c>
      <c r="C60" s="28" t="s">
        <v>13</v>
      </c>
      <c r="D60" s="61">
        <f>SUM(D61+D65+D75)</f>
        <v>995346</v>
      </c>
      <c r="E60" s="29" t="s">
        <v>13</v>
      </c>
      <c r="F60" s="28" t="s">
        <v>13</v>
      </c>
      <c r="G60" s="61">
        <f>SUM(G61+G65+G75)</f>
        <v>1346200</v>
      </c>
      <c r="H60" s="29" t="s">
        <v>13</v>
      </c>
      <c r="I60" s="28" t="s">
        <v>13</v>
      </c>
      <c r="J60" s="61">
        <f>SUM(J61+J65+J75)</f>
        <v>1359200</v>
      </c>
      <c r="K60" s="29" t="s">
        <v>13</v>
      </c>
      <c r="L60" s="28" t="s">
        <v>13</v>
      </c>
      <c r="M60" s="61">
        <f>SUM(M61+M65+M75)</f>
        <v>1373200</v>
      </c>
      <c r="N60" s="29" t="s">
        <v>13</v>
      </c>
    </row>
    <row r="61" spans="1:14" s="60" customFormat="1" x14ac:dyDescent="0.25">
      <c r="B61" s="24" t="s">
        <v>29</v>
      </c>
      <c r="C61" s="26"/>
      <c r="D61" s="34">
        <f>SUM(D62:D64)</f>
        <v>661300</v>
      </c>
      <c r="E61" s="27"/>
      <c r="F61" s="26"/>
      <c r="G61" s="34">
        <f>SUM(G62:G64)</f>
        <v>1000000</v>
      </c>
      <c r="H61" s="27"/>
      <c r="I61" s="26"/>
      <c r="J61" s="34">
        <f>SUM(J62:J64)</f>
        <v>1000000</v>
      </c>
      <c r="K61" s="27"/>
      <c r="L61" s="26"/>
      <c r="M61" s="34">
        <f>SUM(M62:M64)</f>
        <v>1000000</v>
      </c>
      <c r="N61" s="27"/>
    </row>
    <row r="62" spans="1:14" x14ac:dyDescent="0.25">
      <c r="B62" s="25"/>
      <c r="C62" s="30" t="s">
        <v>215</v>
      </c>
      <c r="D62" s="202">
        <f>750000-338700</f>
        <v>411300</v>
      </c>
      <c r="E62" s="31" t="s">
        <v>216</v>
      </c>
      <c r="F62" s="30" t="s">
        <v>215</v>
      </c>
      <c r="G62" s="2">
        <v>750000</v>
      </c>
      <c r="H62" s="31" t="s">
        <v>216</v>
      </c>
      <c r="I62" s="30" t="s">
        <v>215</v>
      </c>
      <c r="J62" s="2">
        <v>750000</v>
      </c>
      <c r="K62" s="31" t="s">
        <v>216</v>
      </c>
      <c r="L62" s="30" t="s">
        <v>215</v>
      </c>
      <c r="M62" s="2">
        <v>750000</v>
      </c>
      <c r="N62" s="31" t="s">
        <v>216</v>
      </c>
    </row>
    <row r="63" spans="1:14" x14ac:dyDescent="0.25">
      <c r="B63" s="25"/>
      <c r="C63" s="30" t="s">
        <v>213</v>
      </c>
      <c r="D63" s="2">
        <v>250000</v>
      </c>
      <c r="E63" s="31" t="s">
        <v>214</v>
      </c>
      <c r="F63" s="30" t="s">
        <v>213</v>
      </c>
      <c r="G63" s="2">
        <v>250000</v>
      </c>
      <c r="H63" s="31" t="s">
        <v>214</v>
      </c>
      <c r="I63" s="30" t="s">
        <v>213</v>
      </c>
      <c r="J63" s="2">
        <v>250000</v>
      </c>
      <c r="K63" s="31" t="s">
        <v>214</v>
      </c>
      <c r="L63" s="30" t="s">
        <v>213</v>
      </c>
      <c r="M63" s="2">
        <v>250000</v>
      </c>
      <c r="N63" s="31" t="s">
        <v>214</v>
      </c>
    </row>
    <row r="64" spans="1:14" x14ac:dyDescent="0.25">
      <c r="B64" s="25"/>
      <c r="C64" s="30" t="s">
        <v>1</v>
      </c>
      <c r="D64" s="2"/>
      <c r="E64" s="31"/>
      <c r="F64" s="30" t="s">
        <v>1</v>
      </c>
      <c r="G64" s="2"/>
      <c r="H64" s="31"/>
      <c r="I64" s="30" t="s">
        <v>1</v>
      </c>
      <c r="J64" s="2"/>
      <c r="K64" s="31"/>
      <c r="L64" s="30" t="s">
        <v>1</v>
      </c>
      <c r="M64" s="2"/>
      <c r="N64" s="31"/>
    </row>
    <row r="65" spans="2:14" s="60" customFormat="1" x14ac:dyDescent="0.25">
      <c r="B65" s="24" t="s">
        <v>43</v>
      </c>
      <c r="C65" s="26"/>
      <c r="D65" s="34">
        <f>SUM(D66:D74)</f>
        <v>174046</v>
      </c>
      <c r="E65" s="27"/>
      <c r="F65" s="26"/>
      <c r="G65" s="34">
        <f>SUM(G66:G74)</f>
        <v>186200</v>
      </c>
      <c r="H65" s="27"/>
      <c r="I65" s="26"/>
      <c r="J65" s="34">
        <f>SUM(J66:J74)</f>
        <v>199200</v>
      </c>
      <c r="K65" s="27"/>
      <c r="L65" s="26"/>
      <c r="M65" s="34">
        <f>SUM(M66:M74)</f>
        <v>213200</v>
      </c>
      <c r="N65" s="27"/>
    </row>
    <row r="66" spans="2:14" x14ac:dyDescent="0.25">
      <c r="B66" s="25"/>
      <c r="C66" s="30" t="s">
        <v>64</v>
      </c>
      <c r="D66" s="202">
        <f>69600/2</f>
        <v>34800</v>
      </c>
      <c r="E66" s="31" t="s">
        <v>171</v>
      </c>
      <c r="F66" s="30" t="s">
        <v>64</v>
      </c>
      <c r="G66" s="2">
        <f t="shared" ref="G66:G73" si="14">ROUND(D66*1.07/100,0)*100</f>
        <v>37200</v>
      </c>
      <c r="H66" s="31" t="s">
        <v>171</v>
      </c>
      <c r="I66" s="30" t="s">
        <v>64</v>
      </c>
      <c r="J66" s="2">
        <f t="shared" ref="J66:J73" si="15">ROUND(G66*1.07/100,0)*100</f>
        <v>39800</v>
      </c>
      <c r="K66" s="31" t="s">
        <v>171</v>
      </c>
      <c r="L66" s="30" t="s">
        <v>64</v>
      </c>
      <c r="M66" s="2">
        <f t="shared" ref="M66:M73" si="16">ROUND(J66*1.07/100,0)*100</f>
        <v>42600</v>
      </c>
      <c r="N66" s="31" t="s">
        <v>171</v>
      </c>
    </row>
    <row r="67" spans="2:14" x14ac:dyDescent="0.25">
      <c r="B67" s="25"/>
      <c r="C67" s="30" t="s">
        <v>64</v>
      </c>
      <c r="D67" s="202">
        <f>52200/2</f>
        <v>26100</v>
      </c>
      <c r="E67" s="31" t="s">
        <v>211</v>
      </c>
      <c r="F67" s="30" t="s">
        <v>64</v>
      </c>
      <c r="G67" s="2">
        <f t="shared" si="14"/>
        <v>27900</v>
      </c>
      <c r="H67" s="31" t="s">
        <v>211</v>
      </c>
      <c r="I67" s="30" t="s">
        <v>64</v>
      </c>
      <c r="J67" s="2">
        <f t="shared" si="15"/>
        <v>29900</v>
      </c>
      <c r="K67" s="31" t="s">
        <v>211</v>
      </c>
      <c r="L67" s="30" t="s">
        <v>64</v>
      </c>
      <c r="M67" s="2">
        <f t="shared" si="16"/>
        <v>32000</v>
      </c>
      <c r="N67" s="31" t="s">
        <v>211</v>
      </c>
    </row>
    <row r="68" spans="2:14" x14ac:dyDescent="0.25">
      <c r="B68" s="25"/>
      <c r="C68" s="30" t="s">
        <v>64</v>
      </c>
      <c r="D68" s="202">
        <f>48700/2</f>
        <v>24350</v>
      </c>
      <c r="E68" s="31" t="s">
        <v>172</v>
      </c>
      <c r="F68" s="30" t="s">
        <v>64</v>
      </c>
      <c r="G68" s="2">
        <f t="shared" si="14"/>
        <v>26100</v>
      </c>
      <c r="H68" s="31" t="s">
        <v>172</v>
      </c>
      <c r="I68" s="30" t="s">
        <v>64</v>
      </c>
      <c r="J68" s="2">
        <f t="shared" si="15"/>
        <v>27900</v>
      </c>
      <c r="K68" s="31" t="s">
        <v>172</v>
      </c>
      <c r="L68" s="30" t="s">
        <v>64</v>
      </c>
      <c r="M68" s="2">
        <f t="shared" si="16"/>
        <v>29900</v>
      </c>
      <c r="N68" s="31" t="s">
        <v>172</v>
      </c>
    </row>
    <row r="69" spans="2:14" x14ac:dyDescent="0.25">
      <c r="B69" s="25"/>
      <c r="C69" s="30" t="s">
        <v>64</v>
      </c>
      <c r="D69" s="202">
        <f>38300/2</f>
        <v>19150</v>
      </c>
      <c r="E69" s="31" t="s">
        <v>194</v>
      </c>
      <c r="F69" s="30" t="s">
        <v>64</v>
      </c>
      <c r="G69" s="2">
        <f t="shared" si="14"/>
        <v>20500</v>
      </c>
      <c r="H69" s="31" t="s">
        <v>194</v>
      </c>
      <c r="I69" s="30" t="s">
        <v>64</v>
      </c>
      <c r="J69" s="2">
        <f t="shared" si="15"/>
        <v>21900</v>
      </c>
      <c r="K69" s="31" t="s">
        <v>194</v>
      </c>
      <c r="L69" s="30" t="s">
        <v>64</v>
      </c>
      <c r="M69" s="2">
        <f t="shared" si="16"/>
        <v>23400</v>
      </c>
      <c r="N69" s="31" t="s">
        <v>194</v>
      </c>
    </row>
    <row r="70" spans="2:14" x14ac:dyDescent="0.25">
      <c r="B70" s="25"/>
      <c r="C70" s="30" t="s">
        <v>64</v>
      </c>
      <c r="D70" s="202">
        <f>38300/2</f>
        <v>19150</v>
      </c>
      <c r="E70" s="31" t="s">
        <v>194</v>
      </c>
      <c r="F70" s="30" t="s">
        <v>64</v>
      </c>
      <c r="G70" s="2">
        <f t="shared" si="14"/>
        <v>20500</v>
      </c>
      <c r="H70" s="31" t="s">
        <v>194</v>
      </c>
      <c r="I70" s="30" t="s">
        <v>64</v>
      </c>
      <c r="J70" s="2">
        <f t="shared" si="15"/>
        <v>21900</v>
      </c>
      <c r="K70" s="31" t="s">
        <v>194</v>
      </c>
      <c r="L70" s="30" t="s">
        <v>64</v>
      </c>
      <c r="M70" s="2">
        <f t="shared" si="16"/>
        <v>23400</v>
      </c>
      <c r="N70" s="31" t="s">
        <v>194</v>
      </c>
    </row>
    <row r="71" spans="2:14" x14ac:dyDescent="0.25">
      <c r="B71" s="25"/>
      <c r="C71" s="30" t="s">
        <v>64</v>
      </c>
      <c r="D71" s="202">
        <f>32000/2</f>
        <v>16000</v>
      </c>
      <c r="E71" s="31" t="s">
        <v>212</v>
      </c>
      <c r="F71" s="30" t="s">
        <v>64</v>
      </c>
      <c r="G71" s="2">
        <f t="shared" si="14"/>
        <v>17100</v>
      </c>
      <c r="H71" s="31" t="s">
        <v>212</v>
      </c>
      <c r="I71" s="30" t="s">
        <v>64</v>
      </c>
      <c r="J71" s="2">
        <f t="shared" si="15"/>
        <v>18300</v>
      </c>
      <c r="K71" s="31" t="s">
        <v>212</v>
      </c>
      <c r="L71" s="30" t="s">
        <v>64</v>
      </c>
      <c r="M71" s="2">
        <f t="shared" si="16"/>
        <v>19600</v>
      </c>
      <c r="N71" s="31" t="s">
        <v>212</v>
      </c>
    </row>
    <row r="72" spans="2:14" x14ac:dyDescent="0.25">
      <c r="B72" s="25"/>
      <c r="C72" s="30" t="s">
        <v>64</v>
      </c>
      <c r="D72" s="202">
        <f>32000/2</f>
        <v>16000</v>
      </c>
      <c r="E72" s="31" t="s">
        <v>212</v>
      </c>
      <c r="F72" s="30" t="s">
        <v>64</v>
      </c>
      <c r="G72" s="2">
        <f t="shared" si="14"/>
        <v>17100</v>
      </c>
      <c r="H72" s="31" t="s">
        <v>212</v>
      </c>
      <c r="I72" s="30" t="s">
        <v>64</v>
      </c>
      <c r="J72" s="2">
        <f t="shared" si="15"/>
        <v>18300</v>
      </c>
      <c r="K72" s="31" t="s">
        <v>212</v>
      </c>
      <c r="L72" s="30" t="s">
        <v>64</v>
      </c>
      <c r="M72" s="2">
        <f t="shared" si="16"/>
        <v>19600</v>
      </c>
      <c r="N72" s="31" t="s">
        <v>212</v>
      </c>
    </row>
    <row r="73" spans="2:14" x14ac:dyDescent="0.25">
      <c r="B73" s="25"/>
      <c r="C73" s="30" t="s">
        <v>64</v>
      </c>
      <c r="D73" s="202">
        <f>37000/2-4</f>
        <v>18496</v>
      </c>
      <c r="E73" s="31" t="s">
        <v>200</v>
      </c>
      <c r="F73" s="30" t="s">
        <v>64</v>
      </c>
      <c r="G73" s="2">
        <f t="shared" si="14"/>
        <v>19800</v>
      </c>
      <c r="H73" s="31" t="s">
        <v>200</v>
      </c>
      <c r="I73" s="30" t="s">
        <v>64</v>
      </c>
      <c r="J73" s="2">
        <f t="shared" si="15"/>
        <v>21200</v>
      </c>
      <c r="K73" s="31" t="s">
        <v>200</v>
      </c>
      <c r="L73" s="30" t="s">
        <v>64</v>
      </c>
      <c r="M73" s="2">
        <f t="shared" si="16"/>
        <v>22700</v>
      </c>
      <c r="N73" s="31" t="s">
        <v>200</v>
      </c>
    </row>
    <row r="74" spans="2:14" x14ac:dyDescent="0.25">
      <c r="B74" s="25"/>
      <c r="C74" s="30" t="s">
        <v>1</v>
      </c>
      <c r="D74" s="2"/>
      <c r="E74" s="31"/>
      <c r="F74" s="30" t="s">
        <v>1</v>
      </c>
      <c r="G74" s="2"/>
      <c r="H74" s="31"/>
      <c r="I74" s="30" t="s">
        <v>1</v>
      </c>
      <c r="J74" s="2"/>
      <c r="K74" s="31"/>
      <c r="L74" s="30" t="s">
        <v>1</v>
      </c>
      <c r="M74" s="2"/>
      <c r="N74" s="31"/>
    </row>
    <row r="75" spans="2:14" s="60" customFormat="1" x14ac:dyDescent="0.25">
      <c r="B75" s="24" t="s">
        <v>54</v>
      </c>
      <c r="C75" s="26"/>
      <c r="D75" s="34">
        <f>SUM(D76:D80)</f>
        <v>160000</v>
      </c>
      <c r="E75" s="27" t="s">
        <v>220</v>
      </c>
      <c r="F75" s="26"/>
      <c r="G75" s="34">
        <f>SUM(G76:G80)</f>
        <v>160000</v>
      </c>
      <c r="H75" s="27"/>
      <c r="I75" s="26"/>
      <c r="J75" s="34">
        <f>SUM(J76:J80)</f>
        <v>160000</v>
      </c>
      <c r="K75" s="27"/>
      <c r="L75" s="26"/>
      <c r="M75" s="34">
        <f>SUM(M76:M80)</f>
        <v>160000</v>
      </c>
      <c r="N75" s="27"/>
    </row>
    <row r="76" spans="2:14" x14ac:dyDescent="0.25">
      <c r="B76" s="25"/>
      <c r="C76" s="30" t="s">
        <v>118</v>
      </c>
      <c r="D76" s="2">
        <v>60000</v>
      </c>
      <c r="E76" s="31" t="s">
        <v>221</v>
      </c>
      <c r="F76" s="30" t="s">
        <v>118</v>
      </c>
      <c r="G76" s="2">
        <v>60000</v>
      </c>
      <c r="H76" s="31" t="s">
        <v>221</v>
      </c>
      <c r="I76" s="30" t="s">
        <v>118</v>
      </c>
      <c r="J76" s="2">
        <v>60000</v>
      </c>
      <c r="K76" s="31" t="s">
        <v>221</v>
      </c>
      <c r="L76" s="30" t="s">
        <v>118</v>
      </c>
      <c r="M76" s="2">
        <v>60000</v>
      </c>
      <c r="N76" s="31" t="s">
        <v>221</v>
      </c>
    </row>
    <row r="77" spans="2:14" x14ac:dyDescent="0.25">
      <c r="B77" s="25"/>
      <c r="C77" s="30" t="s">
        <v>118</v>
      </c>
      <c r="D77" s="122">
        <v>40000</v>
      </c>
      <c r="E77" s="123" t="s">
        <v>222</v>
      </c>
      <c r="F77" s="30" t="s">
        <v>118</v>
      </c>
      <c r="G77" s="122">
        <v>40000</v>
      </c>
      <c r="H77" s="123" t="s">
        <v>222</v>
      </c>
      <c r="I77" s="30" t="s">
        <v>118</v>
      </c>
      <c r="J77" s="122">
        <v>40000</v>
      </c>
      <c r="K77" s="123" t="s">
        <v>222</v>
      </c>
      <c r="L77" s="30" t="s">
        <v>118</v>
      </c>
      <c r="M77" s="122">
        <v>40000</v>
      </c>
      <c r="N77" s="123" t="s">
        <v>222</v>
      </c>
    </row>
    <row r="78" spans="2:14" x14ac:dyDescent="0.25">
      <c r="B78" s="25"/>
      <c r="C78" s="30" t="s">
        <v>118</v>
      </c>
      <c r="D78" s="122">
        <v>30000</v>
      </c>
      <c r="E78" s="123" t="s">
        <v>223</v>
      </c>
      <c r="F78" s="30" t="s">
        <v>118</v>
      </c>
      <c r="G78" s="122">
        <v>30000</v>
      </c>
      <c r="H78" s="123" t="s">
        <v>223</v>
      </c>
      <c r="I78" s="30" t="s">
        <v>118</v>
      </c>
      <c r="J78" s="122">
        <v>30000</v>
      </c>
      <c r="K78" s="123" t="s">
        <v>223</v>
      </c>
      <c r="L78" s="30" t="s">
        <v>118</v>
      </c>
      <c r="M78" s="122">
        <v>30000</v>
      </c>
      <c r="N78" s="123" t="s">
        <v>223</v>
      </c>
    </row>
    <row r="79" spans="2:14" x14ac:dyDescent="0.25">
      <c r="B79" s="25"/>
      <c r="C79" s="30" t="s">
        <v>118</v>
      </c>
      <c r="D79" s="122">
        <v>30000</v>
      </c>
      <c r="E79" s="123" t="s">
        <v>224</v>
      </c>
      <c r="F79" s="30" t="s">
        <v>118</v>
      </c>
      <c r="G79" s="122">
        <v>30000</v>
      </c>
      <c r="H79" s="123" t="s">
        <v>224</v>
      </c>
      <c r="I79" s="30" t="s">
        <v>118</v>
      </c>
      <c r="J79" s="122">
        <v>30000</v>
      </c>
      <c r="K79" s="123" t="s">
        <v>224</v>
      </c>
      <c r="L79" s="30" t="s">
        <v>118</v>
      </c>
      <c r="M79" s="122">
        <v>30000</v>
      </c>
      <c r="N79" s="123" t="s">
        <v>224</v>
      </c>
    </row>
    <row r="80" spans="2:14" ht="15.75" thickBot="1" x14ac:dyDescent="0.3">
      <c r="B80" s="25"/>
      <c r="C80" s="32" t="s">
        <v>1</v>
      </c>
      <c r="D80" s="35"/>
      <c r="E80" s="33"/>
      <c r="F80" s="32" t="s">
        <v>1</v>
      </c>
      <c r="G80" s="35"/>
      <c r="H80" s="33"/>
      <c r="I80" s="32" t="s">
        <v>1</v>
      </c>
      <c r="J80" s="35"/>
      <c r="K80" s="33"/>
      <c r="L80" s="32" t="s">
        <v>1</v>
      </c>
      <c r="M80" s="35"/>
      <c r="N80" s="33"/>
    </row>
    <row r="81" spans="1:6" s="81" customFormat="1" x14ac:dyDescent="0.25"/>
    <row r="82" spans="1:6" s="81" customFormat="1" ht="21" x14ac:dyDescent="0.25">
      <c r="A82" s="23" t="s">
        <v>32</v>
      </c>
    </row>
    <row r="83" spans="1:6" s="81" customFormat="1" ht="18.75" x14ac:dyDescent="0.3">
      <c r="A83" s="6"/>
      <c r="B83"/>
      <c r="C83"/>
      <c r="D83"/>
      <c r="E83"/>
    </row>
    <row r="84" spans="1:6" s="7" customFormat="1" ht="75" x14ac:dyDescent="0.35">
      <c r="A84" s="80"/>
      <c r="B84" s="68" t="s">
        <v>33</v>
      </c>
      <c r="C84" s="68" t="s">
        <v>34</v>
      </c>
      <c r="D84" s="68" t="s">
        <v>63</v>
      </c>
      <c r="E84" s="68" t="s">
        <v>35</v>
      </c>
      <c r="F84" s="68" t="s">
        <v>61</v>
      </c>
    </row>
    <row r="85" spans="1:6" s="81" customFormat="1" ht="120" x14ac:dyDescent="0.25">
      <c r="B85" s="173" t="s">
        <v>181</v>
      </c>
      <c r="C85" s="10" t="s">
        <v>169</v>
      </c>
      <c r="D85" s="10" t="s">
        <v>78</v>
      </c>
      <c r="E85" s="173" t="s">
        <v>182</v>
      </c>
      <c r="F85" s="10" t="s">
        <v>184</v>
      </c>
    </row>
    <row r="86" spans="1:6" s="81" customFormat="1" ht="78.75" x14ac:dyDescent="0.25">
      <c r="B86" s="138" t="s">
        <v>185</v>
      </c>
      <c r="C86" s="10" t="s">
        <v>77</v>
      </c>
      <c r="D86" s="10" t="s">
        <v>77</v>
      </c>
      <c r="E86" s="174" t="s">
        <v>168</v>
      </c>
      <c r="F86" s="87" t="s">
        <v>183</v>
      </c>
    </row>
    <row r="87" spans="1:6" s="81" customFormat="1" ht="110.25" x14ac:dyDescent="0.25">
      <c r="B87" s="138" t="s">
        <v>186</v>
      </c>
      <c r="C87" s="10" t="s">
        <v>77</v>
      </c>
      <c r="D87" s="10" t="s">
        <v>78</v>
      </c>
      <c r="E87" s="176" t="s">
        <v>187</v>
      </c>
      <c r="F87" s="87" t="s">
        <v>183</v>
      </c>
    </row>
    <row r="88" spans="1:6" s="81" customFormat="1" x14ac:dyDescent="0.25"/>
    <row r="89" spans="1:6" s="81" customFormat="1" x14ac:dyDescent="0.25"/>
    <row r="90" spans="1:6" s="81" customFormat="1" x14ac:dyDescent="0.25"/>
    <row r="91" spans="1:6" s="81" customFormat="1" x14ac:dyDescent="0.25"/>
    <row r="92" spans="1:6" s="81" customFormat="1" x14ac:dyDescent="0.25"/>
    <row r="93" spans="1:6" s="81" customFormat="1" x14ac:dyDescent="0.25"/>
    <row r="94" spans="1:6" s="81" customFormat="1" x14ac:dyDescent="0.25"/>
    <row r="95" spans="1:6" s="81" customFormat="1" x14ac:dyDescent="0.25"/>
    <row r="96" spans="1:6" s="81" customFormat="1" x14ac:dyDescent="0.25"/>
    <row r="97" s="81" customFormat="1" x14ac:dyDescent="0.25"/>
    <row r="98" s="81" customFormat="1" x14ac:dyDescent="0.25"/>
    <row r="99" s="81" customFormat="1" x14ac:dyDescent="0.25"/>
    <row r="100" s="81" customFormat="1" x14ac:dyDescent="0.25"/>
    <row r="101" s="81" customFormat="1" x14ac:dyDescent="0.25"/>
    <row r="102" s="81" customFormat="1" x14ac:dyDescent="0.25"/>
    <row r="103" s="81" customFormat="1" x14ac:dyDescent="0.25"/>
    <row r="104" s="81" customFormat="1" x14ac:dyDescent="0.25"/>
    <row r="105" s="81" customFormat="1" x14ac:dyDescent="0.25"/>
    <row r="106" s="81" customFormat="1" x14ac:dyDescent="0.25"/>
    <row r="107" s="81" customFormat="1" x14ac:dyDescent="0.25"/>
    <row r="108" s="81" customFormat="1" x14ac:dyDescent="0.25"/>
    <row r="109" s="81" customFormat="1" x14ac:dyDescent="0.25"/>
    <row r="110" s="81" customFormat="1" x14ac:dyDescent="0.25"/>
    <row r="111" s="81" customFormat="1" x14ac:dyDescent="0.25"/>
    <row r="112" s="81" customFormat="1" x14ac:dyDescent="0.25"/>
    <row r="113" s="81" customFormat="1" x14ac:dyDescent="0.25"/>
    <row r="114" s="81" customFormat="1" x14ac:dyDescent="0.25"/>
    <row r="115" s="81" customFormat="1" x14ac:dyDescent="0.25"/>
    <row r="116" s="81" customFormat="1" x14ac:dyDescent="0.25"/>
    <row r="117" s="81" customFormat="1" x14ac:dyDescent="0.25"/>
    <row r="118" s="81" customFormat="1" x14ac:dyDescent="0.25"/>
    <row r="119" s="81" customFormat="1" x14ac:dyDescent="0.25"/>
    <row r="120" s="81" customFormat="1" x14ac:dyDescent="0.25"/>
    <row r="121" s="81" customFormat="1" x14ac:dyDescent="0.25"/>
    <row r="122" s="81" customFormat="1" x14ac:dyDescent="0.25"/>
    <row r="123" s="81" customFormat="1" x14ac:dyDescent="0.25"/>
    <row r="124" s="81" customFormat="1" x14ac:dyDescent="0.25"/>
    <row r="125" s="81" customFormat="1" x14ac:dyDescent="0.25"/>
    <row r="126" s="81" customFormat="1" x14ac:dyDescent="0.25"/>
    <row r="127" s="81" customFormat="1" x14ac:dyDescent="0.25"/>
    <row r="128" s="81" customFormat="1" x14ac:dyDescent="0.25"/>
    <row r="129" s="81" customFormat="1" x14ac:dyDescent="0.25"/>
    <row r="130" s="81" customFormat="1" x14ac:dyDescent="0.25"/>
    <row r="131" s="81" customFormat="1" x14ac:dyDescent="0.25"/>
    <row r="132" s="81" customFormat="1" x14ac:dyDescent="0.25"/>
    <row r="133" s="81" customFormat="1" x14ac:dyDescent="0.25"/>
    <row r="134" s="81" customFormat="1" x14ac:dyDescent="0.25"/>
    <row r="135" s="81" customFormat="1" x14ac:dyDescent="0.25"/>
    <row r="136" s="81" customFormat="1" x14ac:dyDescent="0.25"/>
    <row r="137" s="81" customFormat="1" x14ac:dyDescent="0.25"/>
    <row r="138" s="81" customFormat="1" x14ac:dyDescent="0.25"/>
    <row r="139" s="81" customFormat="1" x14ac:dyDescent="0.25"/>
    <row r="140" s="81" customFormat="1" x14ac:dyDescent="0.25"/>
    <row r="141" s="81" customFormat="1" x14ac:dyDescent="0.25"/>
    <row r="142" s="81" customFormat="1" x14ac:dyDescent="0.25"/>
    <row r="143" s="81" customFormat="1" x14ac:dyDescent="0.25"/>
    <row r="144" s="81" customFormat="1" x14ac:dyDescent="0.25"/>
    <row r="145" s="81" customFormat="1" x14ac:dyDescent="0.25"/>
    <row r="146" s="81" customFormat="1" x14ac:dyDescent="0.25"/>
    <row r="147" s="81" customFormat="1" x14ac:dyDescent="0.25"/>
    <row r="148" s="81" customFormat="1" x14ac:dyDescent="0.25"/>
    <row r="149" s="81" customFormat="1" x14ac:dyDescent="0.25"/>
    <row r="150" s="81" customFormat="1" x14ac:dyDescent="0.25"/>
    <row r="151" s="81" customFormat="1" x14ac:dyDescent="0.25"/>
    <row r="152" s="81" customFormat="1" x14ac:dyDescent="0.25"/>
    <row r="153" s="81" customFormat="1" x14ac:dyDescent="0.25"/>
    <row r="154" s="81" customFormat="1" x14ac:dyDescent="0.25"/>
    <row r="155" s="81" customFormat="1" x14ac:dyDescent="0.25"/>
    <row r="156" s="81" customFormat="1" x14ac:dyDescent="0.25"/>
    <row r="157" s="81" customFormat="1" x14ac:dyDescent="0.25"/>
    <row r="158" s="81" customFormat="1" x14ac:dyDescent="0.25"/>
    <row r="159" s="81" customFormat="1" x14ac:dyDescent="0.25"/>
    <row r="160" s="81" customFormat="1" x14ac:dyDescent="0.25"/>
    <row r="161" s="81" customFormat="1" x14ac:dyDescent="0.25"/>
    <row r="162" s="81" customFormat="1" x14ac:dyDescent="0.25"/>
    <row r="163" s="81" customFormat="1" x14ac:dyDescent="0.25"/>
    <row r="164" s="81" customFormat="1" x14ac:dyDescent="0.25"/>
    <row r="165" s="81" customFormat="1" x14ac:dyDescent="0.25"/>
    <row r="166" s="81" customFormat="1" x14ac:dyDescent="0.25"/>
    <row r="167" s="81" customFormat="1" x14ac:dyDescent="0.25"/>
    <row r="168" s="81" customFormat="1" x14ac:dyDescent="0.25"/>
    <row r="169" s="81" customFormat="1" x14ac:dyDescent="0.25"/>
    <row r="170" s="81" customFormat="1" x14ac:dyDescent="0.25"/>
    <row r="171" s="81" customFormat="1" x14ac:dyDescent="0.25"/>
    <row r="172" s="81" customFormat="1" x14ac:dyDescent="0.25"/>
    <row r="173" s="81" customFormat="1" x14ac:dyDescent="0.25"/>
    <row r="174" s="81" customFormat="1" x14ac:dyDescent="0.25"/>
    <row r="175" s="81" customFormat="1" x14ac:dyDescent="0.25"/>
    <row r="176" s="81" customFormat="1" x14ac:dyDescent="0.25"/>
    <row r="177" s="81" customFormat="1" x14ac:dyDescent="0.25"/>
    <row r="178" s="81" customFormat="1" x14ac:dyDescent="0.25"/>
    <row r="179" s="81" customFormat="1" x14ac:dyDescent="0.25"/>
    <row r="180" s="81" customFormat="1" x14ac:dyDescent="0.25"/>
    <row r="181" s="81" customFormat="1" x14ac:dyDescent="0.25"/>
    <row r="182" s="81" customFormat="1" x14ac:dyDescent="0.25"/>
    <row r="183" s="81" customFormat="1" x14ac:dyDescent="0.25"/>
    <row r="184" s="81" customFormat="1" x14ac:dyDescent="0.25"/>
    <row r="185" s="81" customFormat="1" x14ac:dyDescent="0.25"/>
    <row r="186" s="81" customFormat="1" x14ac:dyDescent="0.25"/>
    <row r="187" s="81" customFormat="1" x14ac:dyDescent="0.25"/>
    <row r="188" s="81" customFormat="1" x14ac:dyDescent="0.25"/>
    <row r="189" s="81" customFormat="1" x14ac:dyDescent="0.25"/>
    <row r="190" s="81" customFormat="1" x14ac:dyDescent="0.25"/>
    <row r="191" s="81" customFormat="1" x14ac:dyDescent="0.25"/>
    <row r="192" s="81" customFormat="1" x14ac:dyDescent="0.25"/>
    <row r="193" s="81" customFormat="1" x14ac:dyDescent="0.25"/>
    <row r="194" s="81" customFormat="1" x14ac:dyDescent="0.25"/>
    <row r="195" s="81" customFormat="1" x14ac:dyDescent="0.25"/>
    <row r="196" s="81" customFormat="1" x14ac:dyDescent="0.25"/>
    <row r="197" s="81" customFormat="1" x14ac:dyDescent="0.25"/>
    <row r="198" s="81" customFormat="1" x14ac:dyDescent="0.25"/>
    <row r="199" s="81" customFormat="1" x14ac:dyDescent="0.25"/>
    <row r="200" s="81" customFormat="1" x14ac:dyDescent="0.25"/>
    <row r="201" s="81" customFormat="1" x14ac:dyDescent="0.25"/>
    <row r="202" s="81" customFormat="1" x14ac:dyDescent="0.25"/>
    <row r="203" s="81" customFormat="1" x14ac:dyDescent="0.25"/>
    <row r="204" s="81" customFormat="1" x14ac:dyDescent="0.25"/>
    <row r="205" s="81" customFormat="1" x14ac:dyDescent="0.25"/>
    <row r="206" s="81" customFormat="1" x14ac:dyDescent="0.25"/>
    <row r="207" s="81" customFormat="1" x14ac:dyDescent="0.25"/>
    <row r="208" s="81" customFormat="1" x14ac:dyDescent="0.25"/>
    <row r="209" s="81" customFormat="1" x14ac:dyDescent="0.25"/>
    <row r="210" s="81" customFormat="1" x14ac:dyDescent="0.25"/>
    <row r="211" s="81" customFormat="1" x14ac:dyDescent="0.25"/>
    <row r="212" s="81" customFormat="1" x14ac:dyDescent="0.25"/>
    <row r="213" s="81" customFormat="1" x14ac:dyDescent="0.25"/>
    <row r="214" s="81" customFormat="1" x14ac:dyDescent="0.25"/>
    <row r="215" s="81" customFormat="1" x14ac:dyDescent="0.25"/>
    <row r="216" s="81" customFormat="1" x14ac:dyDescent="0.25"/>
    <row r="217" s="81" customFormat="1" x14ac:dyDescent="0.25"/>
    <row r="218" s="81" customFormat="1" x14ac:dyDescent="0.25"/>
    <row r="219" s="81" customFormat="1" x14ac:dyDescent="0.25"/>
    <row r="220" s="81" customFormat="1" x14ac:dyDescent="0.25"/>
    <row r="221" s="81" customFormat="1" x14ac:dyDescent="0.25"/>
    <row r="222" s="81" customFormat="1" x14ac:dyDescent="0.25"/>
    <row r="223" s="81" customFormat="1" x14ac:dyDescent="0.25"/>
    <row r="224" s="81" customFormat="1" x14ac:dyDescent="0.25"/>
    <row r="225" s="81" customFormat="1" x14ac:dyDescent="0.25"/>
    <row r="226" s="81" customFormat="1" x14ac:dyDescent="0.25"/>
    <row r="227" s="81" customFormat="1" x14ac:dyDescent="0.25"/>
    <row r="228" s="81" customFormat="1" x14ac:dyDescent="0.25"/>
    <row r="229" s="81" customFormat="1" x14ac:dyDescent="0.25"/>
    <row r="230" s="81" customFormat="1" x14ac:dyDescent="0.25"/>
    <row r="231" s="81" customFormat="1" x14ac:dyDescent="0.25"/>
    <row r="232" s="81" customFormat="1" x14ac:dyDescent="0.25"/>
    <row r="233" s="81" customFormat="1" x14ac:dyDescent="0.25"/>
    <row r="234" s="81" customFormat="1" x14ac:dyDescent="0.25"/>
    <row r="235" s="81" customFormat="1" x14ac:dyDescent="0.25"/>
    <row r="236" s="81" customFormat="1" x14ac:dyDescent="0.25"/>
    <row r="237" s="81" customFormat="1" x14ac:dyDescent="0.25"/>
    <row r="238" s="81" customFormat="1" x14ac:dyDescent="0.25"/>
    <row r="239" s="81" customFormat="1" x14ac:dyDescent="0.25"/>
    <row r="240" s="81" customFormat="1" x14ac:dyDescent="0.25"/>
    <row r="241" s="81" customFormat="1" x14ac:dyDescent="0.25"/>
    <row r="242" s="81" customFormat="1" x14ac:dyDescent="0.25"/>
  </sheetData>
  <customSheetViews>
    <customSheetView guid="{B6CE57D0-3B00-4AA5-8045-5810B3AC38EF}">
      <selection activeCell="M67" sqref="M67:M74"/>
      <pageMargins left="0.7" right="0.7" top="0.75" bottom="0.75" header="0.3" footer="0.3"/>
      <pageSetup paperSize="9" orientation="portrait" r:id="rId1"/>
    </customSheetView>
    <customSheetView guid="{C5B98205-32EA-4978-BDE9-09FE8244BB3C}" topLeftCell="A4">
      <selection activeCell="D18" sqref="D18"/>
      <pageMargins left="0.7" right="0.7" top="0.75" bottom="0.75" header="0.3" footer="0.3"/>
      <pageSetup paperSize="9" orientation="portrait" r:id="rId2"/>
    </customSheetView>
    <customSheetView guid="{10B7B1F1-9BAA-4B0F-A300-C1E3D2D5095B}" topLeftCell="A58">
      <selection activeCell="M66" sqref="M66"/>
      <pageMargins left="0.7" right="0.7" top="0.75" bottom="0.75" header="0.3" footer="0.3"/>
      <pageSetup paperSize="9" orientation="portrait" r:id="rId3"/>
    </customSheetView>
    <customSheetView guid="{A0472B5E-ED4B-42A6-A051-1D638E3EAB28}" topLeftCell="A42">
      <selection activeCell="G49" sqref="G49"/>
      <pageMargins left="0.7" right="0.7" top="0.75" bottom="0.75" header="0.3" footer="0.3"/>
      <pageSetup paperSize="9" orientation="portrait" r:id="rId4"/>
    </customSheetView>
  </customSheetViews>
  <mergeCells count="10">
    <mergeCell ref="C58:E58"/>
    <mergeCell ref="F58:H58"/>
    <mergeCell ref="I58:K58"/>
    <mergeCell ref="L58:N58"/>
    <mergeCell ref="B6:C6"/>
    <mergeCell ref="B7:C7"/>
    <mergeCell ref="B8:C8"/>
    <mergeCell ref="B11:I11"/>
    <mergeCell ref="B24:I24"/>
    <mergeCell ref="B45:F45"/>
  </mergeCells>
  <pageMargins left="0.7" right="0.7" top="0.75" bottom="0.75" header="0.3" footer="0.3"/>
  <pageSetup paperSize="9" orientation="portrait" r:id="rId5"/>
  <customProperties>
    <customPr name="EpmWorksheetKeyString_GU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50"/>
  <sheetViews>
    <sheetView workbookViewId="0">
      <selection activeCell="D85" sqref="D85"/>
    </sheetView>
  </sheetViews>
  <sheetFormatPr defaultRowHeight="15" x14ac:dyDescent="0.25"/>
  <cols>
    <col min="1" max="1" width="13.85546875" customWidth="1"/>
    <col min="2" max="2" width="21.140625" customWidth="1"/>
    <col min="3" max="3" width="21.7109375" customWidth="1"/>
    <col min="4" max="4" width="15.5703125" customWidth="1"/>
    <col min="5" max="6" width="13.7109375" customWidth="1"/>
    <col min="7" max="7" width="12.85546875" customWidth="1"/>
    <col min="8" max="8" width="19.5703125" customWidth="1"/>
    <col min="9" max="9" width="19.85546875" customWidth="1"/>
    <col min="10" max="14" width="13.7109375" customWidth="1"/>
    <col min="15" max="25" width="11.85546875" customWidth="1"/>
    <col min="26" max="28" width="29.85546875" customWidth="1"/>
  </cols>
  <sheetData>
    <row r="1" spans="1:12" ht="23.25" x14ac:dyDescent="0.35">
      <c r="A1" s="12" t="s">
        <v>39</v>
      </c>
      <c r="B1" s="12"/>
      <c r="C1" s="77" t="s">
        <v>70</v>
      </c>
      <c r="I1" s="74"/>
    </row>
    <row r="2" spans="1:12" ht="23.25" x14ac:dyDescent="0.35">
      <c r="A2" s="56" t="s">
        <v>40</v>
      </c>
      <c r="B2" s="12"/>
      <c r="C2" s="62">
        <f>SUM(D67+G67+J67+M67)</f>
        <v>5670378</v>
      </c>
      <c r="I2" s="74"/>
    </row>
    <row r="4" spans="1:12" s="13" customFormat="1" ht="21" x14ac:dyDescent="0.35">
      <c r="A4" s="13" t="s">
        <v>42</v>
      </c>
    </row>
    <row r="5" spans="1:12" ht="24" thickBot="1" x14ac:dyDescent="0.4">
      <c r="A5" s="77" t="s">
        <v>138</v>
      </c>
      <c r="D5" s="3"/>
    </row>
    <row r="6" spans="1:12" ht="16.5" customHeight="1" x14ac:dyDescent="0.25">
      <c r="B6" s="251" t="s">
        <v>7</v>
      </c>
      <c r="C6" s="252"/>
      <c r="D6" s="66">
        <f>H14</f>
        <v>12511996</v>
      </c>
    </row>
    <row r="7" spans="1:12" ht="16.5" customHeight="1" x14ac:dyDescent="0.25">
      <c r="B7" s="253" t="s">
        <v>8</v>
      </c>
      <c r="C7" s="254"/>
      <c r="D7" s="67">
        <f>H30</f>
        <v>19773574</v>
      </c>
    </row>
    <row r="8" spans="1:12" ht="16.5" customHeight="1" thickBot="1" x14ac:dyDescent="0.3">
      <c r="B8" s="255" t="s">
        <v>9</v>
      </c>
      <c r="C8" s="256"/>
      <c r="D8" s="73">
        <f>D6-D7</f>
        <v>-7261578</v>
      </c>
    </row>
    <row r="9" spans="1:12" ht="16.5" customHeight="1" x14ac:dyDescent="0.25">
      <c r="B9" s="76"/>
      <c r="C9" s="76"/>
    </row>
    <row r="10" spans="1:12" ht="16.5" customHeight="1" x14ac:dyDescent="0.25">
      <c r="B10" s="76"/>
      <c r="C10" s="76"/>
    </row>
    <row r="11" spans="1:12" ht="16.5" customHeight="1" x14ac:dyDescent="0.25">
      <c r="B11" s="257" t="s">
        <v>58</v>
      </c>
      <c r="C11" s="258"/>
      <c r="D11" s="258"/>
      <c r="E11" s="258"/>
      <c r="F11" s="258"/>
      <c r="G11" s="258"/>
      <c r="H11" s="258"/>
      <c r="I11" s="258"/>
    </row>
    <row r="12" spans="1:12" ht="16.5" customHeight="1" thickBot="1" x14ac:dyDescent="0.3">
      <c r="B12" s="4"/>
      <c r="C12" s="124"/>
      <c r="D12" s="124"/>
      <c r="E12" s="124"/>
      <c r="F12" s="124"/>
      <c r="G12" s="124">
        <f>C16+D16+E16+F16+C25+D25+E25+F25+F24+E24+D24+C24</f>
        <v>816400</v>
      </c>
      <c r="H12" s="128">
        <f>SUM(C14:F14)</f>
        <v>10117396</v>
      </c>
      <c r="I12" s="128">
        <f>H12-G12</f>
        <v>9300996</v>
      </c>
    </row>
    <row r="13" spans="1:12" s="81" customFormat="1" ht="67.5" customHeight="1" thickBot="1" x14ac:dyDescent="0.4">
      <c r="A13" s="79"/>
      <c r="B13" s="55" t="s">
        <v>38</v>
      </c>
      <c r="C13" s="18">
        <v>2022</v>
      </c>
      <c r="D13" s="18">
        <v>2023</v>
      </c>
      <c r="E13" s="18">
        <v>2024</v>
      </c>
      <c r="F13" s="18">
        <v>2025</v>
      </c>
      <c r="G13" s="18">
        <v>2026</v>
      </c>
      <c r="H13" s="44" t="s">
        <v>10</v>
      </c>
      <c r="I13" s="47" t="s">
        <v>36</v>
      </c>
      <c r="J13" s="40"/>
      <c r="K13" s="41"/>
      <c r="L13" s="41"/>
    </row>
    <row r="14" spans="1:12" s="81" customFormat="1" ht="16.5" customHeight="1" x14ac:dyDescent="0.25">
      <c r="B14" s="48" t="s">
        <v>6</v>
      </c>
      <c r="C14" s="49">
        <f t="shared" ref="C14:H14" si="0">SUM(C15+C19)</f>
        <v>2933596</v>
      </c>
      <c r="D14" s="49">
        <f t="shared" si="0"/>
        <v>2394600</v>
      </c>
      <c r="E14" s="49">
        <f t="shared" si="0"/>
        <v>2394600</v>
      </c>
      <c r="F14" s="49">
        <f t="shared" si="0"/>
        <v>2394600</v>
      </c>
      <c r="G14" s="49">
        <f t="shared" si="0"/>
        <v>2394600</v>
      </c>
      <c r="H14" s="65">
        <f t="shared" si="0"/>
        <v>12511996</v>
      </c>
      <c r="I14" s="127"/>
      <c r="J14" s="42"/>
      <c r="K14" s="75"/>
      <c r="L14" s="43"/>
    </row>
    <row r="15" spans="1:12" s="81" customFormat="1" ht="16.5" customHeight="1" x14ac:dyDescent="0.25">
      <c r="B15" s="45" t="s">
        <v>44</v>
      </c>
      <c r="C15" s="46">
        <f t="shared" ref="C15:H15" si="1">SUM(C16:C18)</f>
        <v>810519</v>
      </c>
      <c r="D15" s="46">
        <f t="shared" si="1"/>
        <v>819667</v>
      </c>
      <c r="E15" s="46">
        <f t="shared" si="1"/>
        <v>819667</v>
      </c>
      <c r="F15" s="46">
        <f t="shared" si="1"/>
        <v>819667</v>
      </c>
      <c r="G15" s="46">
        <f t="shared" si="1"/>
        <v>819667</v>
      </c>
      <c r="H15" s="46">
        <f t="shared" si="1"/>
        <v>4089187</v>
      </c>
      <c r="I15" s="125"/>
      <c r="J15" s="42"/>
      <c r="K15" s="43"/>
      <c r="L15" s="43"/>
    </row>
    <row r="16" spans="1:12" s="81" customFormat="1" ht="16.5" customHeight="1" x14ac:dyDescent="0.25">
      <c r="B16" s="9" t="s">
        <v>108</v>
      </c>
      <c r="C16" s="15">
        <v>80000</v>
      </c>
      <c r="D16" s="15">
        <v>80000</v>
      </c>
      <c r="E16" s="15">
        <v>80000</v>
      </c>
      <c r="F16" s="15">
        <v>80000</v>
      </c>
      <c r="G16" s="15">
        <v>80000</v>
      </c>
      <c r="H16" s="37">
        <f t="shared" ref="H16:H25" si="2">SUM(C16:G16)</f>
        <v>400000</v>
      </c>
      <c r="I16" s="125" t="s">
        <v>129</v>
      </c>
      <c r="J16" s="42"/>
      <c r="K16" s="43"/>
      <c r="L16" s="43"/>
    </row>
    <row r="17" spans="1:12" s="81" customFormat="1" ht="16.5" customHeight="1" x14ac:dyDescent="0.25">
      <c r="B17" s="9" t="s">
        <v>124</v>
      </c>
      <c r="C17" s="15">
        <v>622359</v>
      </c>
      <c r="D17" s="15">
        <v>639667</v>
      </c>
      <c r="E17" s="15">
        <v>639667</v>
      </c>
      <c r="F17" s="15">
        <v>639667</v>
      </c>
      <c r="G17" s="15">
        <v>639667</v>
      </c>
      <c r="H17" s="37">
        <f t="shared" si="2"/>
        <v>3181027</v>
      </c>
      <c r="I17" s="125" t="s">
        <v>129</v>
      </c>
      <c r="J17" s="42"/>
      <c r="K17" s="43"/>
      <c r="L17" s="43"/>
    </row>
    <row r="18" spans="1:12" s="81" customFormat="1" ht="16.5" customHeight="1" x14ac:dyDescent="0.25">
      <c r="B18" s="17" t="s">
        <v>109</v>
      </c>
      <c r="C18" s="15">
        <v>108160</v>
      </c>
      <c r="D18" s="15">
        <v>100000</v>
      </c>
      <c r="E18" s="57">
        <v>100000</v>
      </c>
      <c r="F18" s="57">
        <v>100000</v>
      </c>
      <c r="G18" s="57">
        <v>100000</v>
      </c>
      <c r="H18" s="37">
        <f t="shared" si="2"/>
        <v>508160</v>
      </c>
      <c r="I18" s="125" t="s">
        <v>129</v>
      </c>
      <c r="J18" s="42"/>
      <c r="K18" s="43"/>
      <c r="L18" s="43"/>
    </row>
    <row r="19" spans="1:12" s="81" customFormat="1" ht="16.5" customHeight="1" x14ac:dyDescent="0.25">
      <c r="B19" s="45" t="s">
        <v>45</v>
      </c>
      <c r="C19" s="46">
        <f>SUM(C20:C25)</f>
        <v>2123077</v>
      </c>
      <c r="D19" s="46">
        <f t="shared" ref="D19:H19" si="3">SUM(D20:D25)</f>
        <v>1574933</v>
      </c>
      <c r="E19" s="46">
        <f t="shared" si="3"/>
        <v>1574933</v>
      </c>
      <c r="F19" s="46">
        <f t="shared" si="3"/>
        <v>1574933</v>
      </c>
      <c r="G19" s="46">
        <f t="shared" si="3"/>
        <v>1574933</v>
      </c>
      <c r="H19" s="46">
        <f t="shared" si="3"/>
        <v>8422809</v>
      </c>
      <c r="I19" s="125"/>
      <c r="J19" s="42"/>
      <c r="K19" s="43"/>
      <c r="L19" s="43"/>
    </row>
    <row r="20" spans="1:12" s="81" customFormat="1" ht="16.5" customHeight="1" x14ac:dyDescent="0.25">
      <c r="B20" s="9" t="s">
        <v>125</v>
      </c>
      <c r="C20" s="15">
        <v>712774</v>
      </c>
      <c r="D20" s="15">
        <v>563000</v>
      </c>
      <c r="E20" s="15">
        <v>563000</v>
      </c>
      <c r="F20" s="15">
        <v>563000</v>
      </c>
      <c r="G20" s="15">
        <v>563000</v>
      </c>
      <c r="H20" s="37">
        <f t="shared" si="2"/>
        <v>2964774</v>
      </c>
      <c r="I20" s="125" t="s">
        <v>129</v>
      </c>
      <c r="J20" s="42"/>
      <c r="K20" s="43"/>
      <c r="L20" s="43"/>
    </row>
    <row r="21" spans="1:12" s="81" customFormat="1" ht="16.5" customHeight="1" x14ac:dyDescent="0.25">
      <c r="B21" s="9" t="s">
        <v>126</v>
      </c>
      <c r="C21" s="15">
        <v>184773</v>
      </c>
      <c r="D21" s="15">
        <v>43333</v>
      </c>
      <c r="E21" s="15">
        <v>43333</v>
      </c>
      <c r="F21" s="15">
        <v>43333</v>
      </c>
      <c r="G21" s="15">
        <v>43333</v>
      </c>
      <c r="H21" s="37">
        <f t="shared" si="2"/>
        <v>358105</v>
      </c>
      <c r="I21" s="125" t="s">
        <v>129</v>
      </c>
      <c r="J21" s="42"/>
      <c r="K21" s="43"/>
      <c r="L21" s="43"/>
    </row>
    <row r="22" spans="1:12" s="81" customFormat="1" ht="16.5" customHeight="1" x14ac:dyDescent="0.25">
      <c r="B22" s="9" t="s">
        <v>128</v>
      </c>
      <c r="C22" s="15">
        <v>364139</v>
      </c>
      <c r="D22" s="15">
        <v>345000</v>
      </c>
      <c r="E22" s="15">
        <v>345000</v>
      </c>
      <c r="F22" s="15">
        <v>345000</v>
      </c>
      <c r="G22" s="15">
        <v>345000</v>
      </c>
      <c r="H22" s="37">
        <f t="shared" si="2"/>
        <v>1744139</v>
      </c>
      <c r="I22" s="125" t="s">
        <v>129</v>
      </c>
      <c r="J22" s="42"/>
      <c r="K22" s="43"/>
      <c r="L22" s="43"/>
    </row>
    <row r="23" spans="1:12" s="81" customFormat="1" ht="16.5" customHeight="1" x14ac:dyDescent="0.25">
      <c r="B23" s="9" t="s">
        <v>127</v>
      </c>
      <c r="C23" s="15">
        <f>207307+529984</f>
        <v>737291</v>
      </c>
      <c r="D23" s="15">
        <v>499500</v>
      </c>
      <c r="E23" s="15">
        <v>499500</v>
      </c>
      <c r="F23" s="15">
        <f>E23</f>
        <v>499500</v>
      </c>
      <c r="G23" s="15">
        <f>F23</f>
        <v>499500</v>
      </c>
      <c r="H23" s="37">
        <f t="shared" ref="H23" si="4">SUM(C23:G23)</f>
        <v>2735291</v>
      </c>
      <c r="I23" s="125" t="s">
        <v>129</v>
      </c>
      <c r="J23" s="42"/>
      <c r="K23" s="43"/>
      <c r="L23" s="43"/>
    </row>
    <row r="24" spans="1:12" s="81" customFormat="1" ht="16.5" customHeight="1" x14ac:dyDescent="0.25">
      <c r="B24" s="17" t="s">
        <v>130</v>
      </c>
      <c r="C24" s="15">
        <f>46000</f>
        <v>46000</v>
      </c>
      <c r="D24" s="15">
        <f>46000</f>
        <v>46000</v>
      </c>
      <c r="E24" s="15">
        <f>46000</f>
        <v>46000</v>
      </c>
      <c r="F24" s="15">
        <f>46000</f>
        <v>46000</v>
      </c>
      <c r="G24" s="15">
        <f>46000</f>
        <v>46000</v>
      </c>
      <c r="H24" s="37">
        <f t="shared" si="2"/>
        <v>230000</v>
      </c>
      <c r="I24" s="125" t="s">
        <v>129</v>
      </c>
      <c r="J24" s="42"/>
      <c r="K24" s="43"/>
      <c r="L24" s="43"/>
    </row>
    <row r="25" spans="1:12" s="81" customFormat="1" ht="16.5" customHeight="1" thickBot="1" x14ac:dyDescent="0.3">
      <c r="B25" s="51" t="s">
        <v>125</v>
      </c>
      <c r="C25" s="52">
        <v>78100</v>
      </c>
      <c r="D25" s="52">
        <v>78100</v>
      </c>
      <c r="E25" s="52">
        <v>78100</v>
      </c>
      <c r="F25" s="52">
        <v>78100</v>
      </c>
      <c r="G25" s="52">
        <v>78100</v>
      </c>
      <c r="H25" s="54">
        <f t="shared" si="2"/>
        <v>390500</v>
      </c>
      <c r="I25" s="126" t="s">
        <v>129</v>
      </c>
      <c r="J25" s="42"/>
      <c r="K25" s="43"/>
      <c r="L25" s="43"/>
    </row>
    <row r="26" spans="1:12" s="81" customFormat="1" ht="16.5" customHeight="1" x14ac:dyDescent="0.25">
      <c r="B26" s="58"/>
      <c r="C26" s="59"/>
      <c r="D26" s="59"/>
      <c r="E26" s="59"/>
      <c r="F26" s="59"/>
      <c r="G26" s="59"/>
      <c r="H26" s="59"/>
      <c r="I26" s="59"/>
      <c r="J26" s="42"/>
      <c r="K26" s="43"/>
      <c r="L26" s="43"/>
    </row>
    <row r="27" spans="1:12" s="81" customFormat="1" ht="16.5" customHeight="1" x14ac:dyDescent="0.25">
      <c r="B27" s="259" t="s">
        <v>59</v>
      </c>
      <c r="C27" s="260"/>
      <c r="D27" s="260"/>
      <c r="E27" s="260"/>
      <c r="F27" s="260"/>
      <c r="G27" s="260"/>
      <c r="H27" s="260"/>
      <c r="I27" s="260"/>
    </row>
    <row r="28" spans="1:12" s="81" customFormat="1" ht="16.5" customHeight="1" thickBot="1" x14ac:dyDescent="0.3"/>
    <row r="29" spans="1:12" s="81" customFormat="1" ht="66.75" customHeight="1" thickBot="1" x14ac:dyDescent="0.4">
      <c r="A29" s="79"/>
      <c r="B29" s="55" t="s">
        <v>38</v>
      </c>
      <c r="C29" s="18">
        <v>2022</v>
      </c>
      <c r="D29" s="18">
        <v>2023</v>
      </c>
      <c r="E29" s="18">
        <v>2024</v>
      </c>
      <c r="F29" s="18">
        <v>2025</v>
      </c>
      <c r="G29" s="18">
        <v>2026</v>
      </c>
      <c r="H29" s="44" t="s">
        <v>10</v>
      </c>
      <c r="I29" s="47" t="s">
        <v>36</v>
      </c>
      <c r="J29" s="40"/>
      <c r="K29" s="41"/>
      <c r="L29" s="41"/>
    </row>
    <row r="30" spans="1:12" s="81" customFormat="1" ht="16.5" customHeight="1" x14ac:dyDescent="0.25">
      <c r="B30" s="48" t="s">
        <v>6</v>
      </c>
      <c r="C30" s="49">
        <f t="shared" ref="C30:H30" si="5">SUM(C31+C36)</f>
        <v>3882274</v>
      </c>
      <c r="D30" s="49">
        <f t="shared" si="5"/>
        <v>3951600</v>
      </c>
      <c r="E30" s="49">
        <f t="shared" si="5"/>
        <v>3968100</v>
      </c>
      <c r="F30" s="49">
        <f t="shared" si="5"/>
        <v>3985800</v>
      </c>
      <c r="G30" s="49">
        <f t="shared" si="5"/>
        <v>3985800</v>
      </c>
      <c r="H30" s="65">
        <f t="shared" si="5"/>
        <v>19773574</v>
      </c>
      <c r="I30" s="127"/>
      <c r="J30" s="42"/>
      <c r="K30" s="43"/>
      <c r="L30" s="43"/>
    </row>
    <row r="31" spans="1:12" s="81" customFormat="1" ht="16.5" customHeight="1" x14ac:dyDescent="0.25">
      <c r="B31" s="45" t="s">
        <v>44</v>
      </c>
      <c r="C31" s="46">
        <f t="shared" ref="C31:H31" si="6">SUM(C32:C35)</f>
        <v>1590519</v>
      </c>
      <c r="D31" s="46">
        <f t="shared" si="6"/>
        <v>1589667</v>
      </c>
      <c r="E31" s="46">
        <f t="shared" si="6"/>
        <v>1589667</v>
      </c>
      <c r="F31" s="46">
        <f t="shared" si="6"/>
        <v>1589667</v>
      </c>
      <c r="G31" s="46">
        <f t="shared" si="6"/>
        <v>1589667</v>
      </c>
      <c r="H31" s="46">
        <f t="shared" si="6"/>
        <v>7949187</v>
      </c>
      <c r="I31" s="125"/>
      <c r="J31" s="42"/>
      <c r="L31" s="43"/>
    </row>
    <row r="32" spans="1:12" s="81" customFormat="1" ht="16.5" customHeight="1" x14ac:dyDescent="0.25">
      <c r="B32" s="63" t="s">
        <v>37</v>
      </c>
      <c r="C32" s="64">
        <f>D68</f>
        <v>780000</v>
      </c>
      <c r="D32" s="64">
        <f>G68</f>
        <v>770000</v>
      </c>
      <c r="E32" s="64">
        <f>J68</f>
        <v>770000</v>
      </c>
      <c r="F32" s="64">
        <f>M68</f>
        <v>770000</v>
      </c>
      <c r="G32" s="46">
        <f>F32</f>
        <v>770000</v>
      </c>
      <c r="H32" s="46">
        <f t="shared" ref="H32:H35" si="7">SUM(C32:G32)</f>
        <v>3860000</v>
      </c>
      <c r="I32" s="125" t="s">
        <v>107</v>
      </c>
      <c r="J32" s="42"/>
      <c r="L32" s="43"/>
    </row>
    <row r="33" spans="1:13" s="81" customFormat="1" ht="16.5" customHeight="1" x14ac:dyDescent="0.25">
      <c r="B33" s="9" t="s">
        <v>108</v>
      </c>
      <c r="C33" s="15">
        <v>80000</v>
      </c>
      <c r="D33" s="15">
        <v>80000</v>
      </c>
      <c r="E33" s="15">
        <v>80000</v>
      </c>
      <c r="F33" s="15">
        <v>80000</v>
      </c>
      <c r="G33" s="15">
        <v>80000</v>
      </c>
      <c r="H33" s="15">
        <f t="shared" si="7"/>
        <v>400000</v>
      </c>
      <c r="I33" s="125" t="s">
        <v>129</v>
      </c>
      <c r="J33" s="42"/>
      <c r="K33" s="43"/>
      <c r="L33" s="43"/>
    </row>
    <row r="34" spans="1:13" s="81" customFormat="1" ht="16.5" customHeight="1" x14ac:dyDescent="0.25">
      <c r="B34" s="9" t="s">
        <v>124</v>
      </c>
      <c r="C34" s="15">
        <v>622359</v>
      </c>
      <c r="D34" s="15">
        <v>639667</v>
      </c>
      <c r="E34" s="15">
        <v>639667</v>
      </c>
      <c r="F34" s="15">
        <v>639667</v>
      </c>
      <c r="G34" s="15">
        <v>639667</v>
      </c>
      <c r="H34" s="15">
        <f t="shared" si="7"/>
        <v>3181027</v>
      </c>
      <c r="I34" s="125" t="s">
        <v>123</v>
      </c>
      <c r="J34" s="42"/>
      <c r="K34" s="43"/>
      <c r="L34" s="43"/>
    </row>
    <row r="35" spans="1:13" s="81" customFormat="1" ht="16.5" customHeight="1" x14ac:dyDescent="0.25">
      <c r="B35" s="17" t="s">
        <v>109</v>
      </c>
      <c r="C35" s="15">
        <v>108160</v>
      </c>
      <c r="D35" s="15">
        <v>100000</v>
      </c>
      <c r="E35" s="57">
        <v>100000</v>
      </c>
      <c r="F35" s="57">
        <v>100000</v>
      </c>
      <c r="G35" s="57">
        <v>100000</v>
      </c>
      <c r="H35" s="15">
        <f t="shared" si="7"/>
        <v>508160</v>
      </c>
      <c r="I35" s="125" t="s">
        <v>123</v>
      </c>
      <c r="J35" s="42"/>
      <c r="K35" s="43"/>
      <c r="L35" s="43"/>
    </row>
    <row r="36" spans="1:13" s="81" customFormat="1" ht="16.5" customHeight="1" x14ac:dyDescent="0.25">
      <c r="B36" s="45" t="s">
        <v>45</v>
      </c>
      <c r="C36" s="46">
        <f>SUM(C37:C44)</f>
        <v>2291755</v>
      </c>
      <c r="D36" s="46">
        <f t="shared" ref="D36:H36" si="8">SUM(D37:D44)</f>
        <v>2361933</v>
      </c>
      <c r="E36" s="46">
        <f t="shared" si="8"/>
        <v>2378433</v>
      </c>
      <c r="F36" s="46">
        <f t="shared" si="8"/>
        <v>2396133</v>
      </c>
      <c r="G36" s="46">
        <f t="shared" si="8"/>
        <v>2396133</v>
      </c>
      <c r="H36" s="46">
        <f t="shared" si="8"/>
        <v>11824387</v>
      </c>
      <c r="I36" s="125"/>
      <c r="J36" s="42"/>
      <c r="K36" s="43"/>
      <c r="L36" s="43"/>
    </row>
    <row r="37" spans="1:13" s="81" customFormat="1" ht="16.5" customHeight="1" x14ac:dyDescent="0.25">
      <c r="B37" s="63" t="s">
        <v>55</v>
      </c>
      <c r="C37" s="64">
        <f>D74</f>
        <v>78678</v>
      </c>
      <c r="D37" s="64">
        <f>G74</f>
        <v>235500</v>
      </c>
      <c r="E37" s="64">
        <f>J74</f>
        <v>252000</v>
      </c>
      <c r="F37" s="64">
        <f>M74</f>
        <v>269700</v>
      </c>
      <c r="G37" s="46">
        <f>F37</f>
        <v>269700</v>
      </c>
      <c r="H37" s="15">
        <f t="shared" ref="H37:H44" si="9">SUM(C37:G37)</f>
        <v>1105578</v>
      </c>
      <c r="I37" s="125" t="s">
        <v>107</v>
      </c>
      <c r="J37" s="42"/>
      <c r="K37" s="43"/>
      <c r="L37" s="43"/>
    </row>
    <row r="38" spans="1:13" s="81" customFormat="1" ht="16.5" customHeight="1" x14ac:dyDescent="0.25">
      <c r="B38" s="63" t="s">
        <v>56</v>
      </c>
      <c r="C38" s="64">
        <f>D81</f>
        <v>90000</v>
      </c>
      <c r="D38" s="64">
        <f>G81</f>
        <v>551500</v>
      </c>
      <c r="E38" s="64">
        <f>J81</f>
        <v>551500</v>
      </c>
      <c r="F38" s="64">
        <f>M81</f>
        <v>551500</v>
      </c>
      <c r="G38" s="46">
        <f>F38</f>
        <v>551500</v>
      </c>
      <c r="H38" s="15">
        <f>SUM(C38:G38)</f>
        <v>2296000</v>
      </c>
      <c r="I38" s="125" t="s">
        <v>107</v>
      </c>
      <c r="J38" s="42"/>
      <c r="K38" s="43"/>
      <c r="L38" s="43"/>
    </row>
    <row r="39" spans="1:13" s="81" customFormat="1" ht="16.5" customHeight="1" x14ac:dyDescent="0.25">
      <c r="B39" s="9" t="s">
        <v>125</v>
      </c>
      <c r="C39" s="15">
        <v>712774</v>
      </c>
      <c r="D39" s="15">
        <v>563000</v>
      </c>
      <c r="E39" s="15">
        <v>563000</v>
      </c>
      <c r="F39" s="15">
        <v>563000</v>
      </c>
      <c r="G39" s="15">
        <v>563000</v>
      </c>
      <c r="H39" s="15">
        <f t="shared" si="9"/>
        <v>2964774</v>
      </c>
      <c r="I39" s="125" t="s">
        <v>123</v>
      </c>
      <c r="J39" s="42"/>
      <c r="K39" s="43"/>
      <c r="L39" s="43"/>
    </row>
    <row r="40" spans="1:13" s="81" customFormat="1" ht="16.5" customHeight="1" x14ac:dyDescent="0.25">
      <c r="B40" s="9" t="s">
        <v>126</v>
      </c>
      <c r="C40" s="15">
        <v>184773</v>
      </c>
      <c r="D40" s="15">
        <v>43333</v>
      </c>
      <c r="E40" s="15">
        <v>43333</v>
      </c>
      <c r="F40" s="15">
        <v>43333</v>
      </c>
      <c r="G40" s="15">
        <v>43333</v>
      </c>
      <c r="H40" s="15">
        <f t="shared" si="9"/>
        <v>358105</v>
      </c>
      <c r="I40" s="125" t="s">
        <v>123</v>
      </c>
      <c r="J40" s="42"/>
      <c r="K40" s="43"/>
      <c r="L40" s="43"/>
      <c r="M40" s="36"/>
    </row>
    <row r="41" spans="1:13" s="81" customFormat="1" ht="16.5" customHeight="1" x14ac:dyDescent="0.25">
      <c r="B41" s="9" t="s">
        <v>128</v>
      </c>
      <c r="C41" s="15">
        <v>364139</v>
      </c>
      <c r="D41" s="15">
        <v>345000</v>
      </c>
      <c r="E41" s="15">
        <v>345000</v>
      </c>
      <c r="F41" s="15">
        <v>345000</v>
      </c>
      <c r="G41" s="15">
        <v>345000</v>
      </c>
      <c r="H41" s="15">
        <f t="shared" si="9"/>
        <v>1744139</v>
      </c>
      <c r="I41" s="125" t="s">
        <v>123</v>
      </c>
      <c r="J41" s="42"/>
      <c r="K41" s="43"/>
      <c r="L41" s="43"/>
    </row>
    <row r="42" spans="1:13" s="81" customFormat="1" ht="16.5" customHeight="1" x14ac:dyDescent="0.25">
      <c r="B42" s="9" t="s">
        <v>127</v>
      </c>
      <c r="C42" s="15">
        <f>207307+529984</f>
        <v>737291</v>
      </c>
      <c r="D42" s="15">
        <v>499500</v>
      </c>
      <c r="E42" s="15">
        <v>499500</v>
      </c>
      <c r="F42" s="15">
        <f>E42</f>
        <v>499500</v>
      </c>
      <c r="G42" s="15">
        <f>F42</f>
        <v>499500</v>
      </c>
      <c r="H42" s="15">
        <f t="shared" si="9"/>
        <v>2735291</v>
      </c>
      <c r="I42" s="125" t="s">
        <v>123</v>
      </c>
      <c r="J42" s="42"/>
      <c r="K42" s="43"/>
      <c r="L42" s="43"/>
    </row>
    <row r="43" spans="1:13" s="81" customFormat="1" ht="16.5" customHeight="1" x14ac:dyDescent="0.25">
      <c r="B43" s="17" t="s">
        <v>130</v>
      </c>
      <c r="C43" s="15">
        <f>46000</f>
        <v>46000</v>
      </c>
      <c r="D43" s="15">
        <f>46000</f>
        <v>46000</v>
      </c>
      <c r="E43" s="15">
        <f>46000</f>
        <v>46000</v>
      </c>
      <c r="F43" s="15">
        <f>46000</f>
        <v>46000</v>
      </c>
      <c r="G43" s="15">
        <f>46000</f>
        <v>46000</v>
      </c>
      <c r="H43" s="15">
        <f t="shared" si="9"/>
        <v>230000</v>
      </c>
      <c r="I43" s="125" t="s">
        <v>129</v>
      </c>
      <c r="J43" s="42"/>
      <c r="K43" s="43"/>
      <c r="L43" s="43"/>
    </row>
    <row r="44" spans="1:13" s="81" customFormat="1" ht="16.5" customHeight="1" thickBot="1" x14ac:dyDescent="0.3">
      <c r="B44" s="51" t="s">
        <v>125</v>
      </c>
      <c r="C44" s="52">
        <v>78100</v>
      </c>
      <c r="D44" s="52">
        <v>78100</v>
      </c>
      <c r="E44" s="52">
        <v>78100</v>
      </c>
      <c r="F44" s="52">
        <v>78100</v>
      </c>
      <c r="G44" s="52">
        <v>78100</v>
      </c>
      <c r="H44" s="52">
        <f t="shared" si="9"/>
        <v>390500</v>
      </c>
      <c r="I44" s="126" t="s">
        <v>129</v>
      </c>
      <c r="J44" s="42"/>
      <c r="K44" s="43"/>
      <c r="L44" s="43"/>
    </row>
    <row r="45" spans="1:13" ht="16.5" customHeight="1" x14ac:dyDescent="0.25">
      <c r="J45" s="5"/>
    </row>
    <row r="46" spans="1:13" s="81" customFormat="1" ht="45" x14ac:dyDescent="0.35">
      <c r="A46" s="80"/>
      <c r="B46" s="69" t="s">
        <v>11</v>
      </c>
      <c r="C46" s="70" t="s">
        <v>15</v>
      </c>
      <c r="D46" s="68" t="s">
        <v>16</v>
      </c>
      <c r="E46" s="68" t="s">
        <v>60</v>
      </c>
      <c r="F46" s="68" t="s">
        <v>19</v>
      </c>
    </row>
    <row r="47" spans="1:13" s="81" customFormat="1" ht="90" x14ac:dyDescent="0.25">
      <c r="B47" s="87" t="s">
        <v>225</v>
      </c>
      <c r="C47" s="139" t="s">
        <v>249</v>
      </c>
      <c r="D47" s="139" t="s">
        <v>250</v>
      </c>
      <c r="E47" s="139" t="s">
        <v>250</v>
      </c>
      <c r="F47" s="139" t="s">
        <v>251</v>
      </c>
    </row>
    <row r="48" spans="1:13" s="81" customFormat="1" ht="60" x14ac:dyDescent="0.25">
      <c r="B48" s="87" t="s">
        <v>225</v>
      </c>
      <c r="C48" s="139" t="s">
        <v>252</v>
      </c>
      <c r="D48" s="139" t="s">
        <v>253</v>
      </c>
      <c r="E48" s="139" t="s">
        <v>250</v>
      </c>
      <c r="F48" s="139" t="s">
        <v>251</v>
      </c>
    </row>
    <row r="49" spans="1:10" s="81" customFormat="1" ht="90" x14ac:dyDescent="0.25">
      <c r="B49" s="87" t="s">
        <v>18</v>
      </c>
      <c r="C49" s="139" t="s">
        <v>254</v>
      </c>
      <c r="D49" s="139" t="s">
        <v>255</v>
      </c>
      <c r="E49" s="139" t="s">
        <v>256</v>
      </c>
      <c r="F49" s="139" t="s">
        <v>257</v>
      </c>
    </row>
    <row r="50" spans="1:10" s="81" customFormat="1" x14ac:dyDescent="0.25">
      <c r="B50" s="8"/>
      <c r="C50" s="10"/>
      <c r="D50" s="10"/>
      <c r="E50" s="10"/>
      <c r="F50" s="10"/>
    </row>
    <row r="51" spans="1:10" s="81" customFormat="1" x14ac:dyDescent="0.25"/>
    <row r="52" spans="1:10" s="81" customFormat="1" ht="46.5" customHeight="1" x14ac:dyDescent="0.25">
      <c r="B52" s="261" t="s">
        <v>57</v>
      </c>
      <c r="C52" s="262"/>
      <c r="D52" s="262"/>
      <c r="E52" s="262"/>
      <c r="F52" s="262"/>
      <c r="G52" s="68" t="s">
        <v>15</v>
      </c>
      <c r="H52" s="68" t="s">
        <v>16</v>
      </c>
      <c r="I52" s="68" t="s">
        <v>60</v>
      </c>
      <c r="J52" s="68" t="s">
        <v>19</v>
      </c>
    </row>
    <row r="53" spans="1:10" s="81" customFormat="1" x14ac:dyDescent="0.25">
      <c r="B53" s="11" t="s">
        <v>26</v>
      </c>
      <c r="C53" s="19"/>
      <c r="D53" s="19"/>
      <c r="E53" s="19"/>
      <c r="F53" s="20"/>
      <c r="G53" s="10"/>
      <c r="H53" s="10"/>
      <c r="I53" s="10"/>
      <c r="J53" s="10"/>
    </row>
    <row r="54" spans="1:10" s="81" customFormat="1" x14ac:dyDescent="0.25">
      <c r="B54" s="11" t="s">
        <v>20</v>
      </c>
      <c r="C54" s="19"/>
      <c r="D54" s="19"/>
      <c r="E54" s="19"/>
      <c r="F54" s="20"/>
      <c r="G54" s="10"/>
      <c r="H54" s="10"/>
      <c r="I54" s="10"/>
      <c r="J54" s="10"/>
    </row>
    <row r="55" spans="1:10" s="81" customFormat="1" x14ac:dyDescent="0.25">
      <c r="B55" s="11" t="s">
        <v>27</v>
      </c>
      <c r="C55" s="19"/>
      <c r="D55" s="19"/>
      <c r="E55" s="19"/>
      <c r="F55" s="20"/>
      <c r="G55" s="10"/>
      <c r="H55" s="10"/>
      <c r="I55" s="10"/>
      <c r="J55" s="10"/>
    </row>
    <row r="56" spans="1:10" s="81" customFormat="1" x14ac:dyDescent="0.25">
      <c r="B56" s="11" t="s">
        <v>21</v>
      </c>
      <c r="C56" s="19"/>
      <c r="D56" s="19"/>
      <c r="E56" s="19"/>
      <c r="F56" s="20"/>
      <c r="G56" s="10"/>
      <c r="H56" s="10"/>
      <c r="I56" s="10"/>
      <c r="J56" s="10"/>
    </row>
    <row r="57" spans="1:10" s="81" customFormat="1" x14ac:dyDescent="0.25">
      <c r="B57" s="11" t="s">
        <v>22</v>
      </c>
      <c r="C57" s="19"/>
      <c r="D57" s="19"/>
      <c r="E57" s="19"/>
      <c r="F57" s="20"/>
      <c r="G57" s="10"/>
      <c r="H57" s="10"/>
      <c r="I57" s="10"/>
      <c r="J57" s="10"/>
    </row>
    <row r="58" spans="1:10" s="81" customFormat="1" x14ac:dyDescent="0.25">
      <c r="B58" s="11" t="s">
        <v>23</v>
      </c>
      <c r="C58" s="21"/>
      <c r="D58" s="21"/>
      <c r="E58" s="21"/>
      <c r="F58" s="22"/>
      <c r="G58" s="10"/>
      <c r="H58" s="10"/>
      <c r="I58" s="10"/>
      <c r="J58" s="10"/>
    </row>
    <row r="59" spans="1:10" s="81" customFormat="1" x14ac:dyDescent="0.25">
      <c r="B59" s="11" t="s">
        <v>24</v>
      </c>
      <c r="C59" s="19"/>
      <c r="D59" s="19"/>
      <c r="E59" s="19"/>
      <c r="F59" s="20"/>
      <c r="G59" s="10"/>
      <c r="H59" s="10"/>
      <c r="I59" s="10"/>
      <c r="J59" s="10"/>
    </row>
    <row r="60" spans="1:10" s="81" customFormat="1" x14ac:dyDescent="0.25">
      <c r="B60" s="11" t="s">
        <v>25</v>
      </c>
      <c r="C60" s="19"/>
      <c r="D60" s="19"/>
      <c r="E60" s="19"/>
      <c r="F60" s="20"/>
      <c r="G60" s="10"/>
      <c r="H60" s="10"/>
      <c r="I60" s="10"/>
      <c r="J60" s="10"/>
    </row>
    <row r="61" spans="1:10" s="81" customFormat="1" x14ac:dyDescent="0.25">
      <c r="B61" s="11" t="s">
        <v>1</v>
      </c>
      <c r="C61" s="19"/>
      <c r="D61" s="19"/>
      <c r="E61" s="19"/>
      <c r="F61" s="20"/>
      <c r="G61" s="10"/>
      <c r="H61" s="10"/>
      <c r="I61" s="10"/>
      <c r="J61" s="10"/>
    </row>
    <row r="62" spans="1:10" s="81" customFormat="1" x14ac:dyDescent="0.25"/>
    <row r="63" spans="1:10" s="7" customFormat="1" ht="21" x14ac:dyDescent="0.25">
      <c r="A63" s="23" t="s">
        <v>14</v>
      </c>
      <c r="F63" s="1"/>
    </row>
    <row r="64" spans="1:10" s="81" customFormat="1" ht="19.5" thickBot="1" x14ac:dyDescent="0.35">
      <c r="A64" s="6"/>
      <c r="D64" s="228">
        <f>'RES IKT lisataotlused kokku'!H9-'RES8'!D67</f>
        <v>-270000</v>
      </c>
      <c r="F64" s="228">
        <f>1028300-D67</f>
        <v>79622</v>
      </c>
    </row>
    <row r="65" spans="1:15" ht="14.25" customHeight="1" x14ac:dyDescent="0.25">
      <c r="A65" s="23"/>
      <c r="C65" s="263">
        <v>2022</v>
      </c>
      <c r="D65" s="264"/>
      <c r="E65" s="265"/>
      <c r="F65" s="263">
        <v>2023</v>
      </c>
      <c r="G65" s="264"/>
      <c r="H65" s="265"/>
      <c r="I65" s="263">
        <v>2024</v>
      </c>
      <c r="J65" s="264"/>
      <c r="K65" s="265"/>
      <c r="L65" s="263">
        <v>2025</v>
      </c>
      <c r="M65" s="264"/>
      <c r="N65" s="265"/>
    </row>
    <row r="66" spans="1:15" ht="21" x14ac:dyDescent="0.35">
      <c r="A66" s="79"/>
      <c r="B66" s="24" t="s">
        <v>28</v>
      </c>
      <c r="C66" s="71" t="s">
        <v>12</v>
      </c>
      <c r="D66" s="14" t="s">
        <v>31</v>
      </c>
      <c r="E66" s="72" t="s">
        <v>30</v>
      </c>
      <c r="F66" s="71" t="s">
        <v>12</v>
      </c>
      <c r="G66" s="14" t="s">
        <v>31</v>
      </c>
      <c r="H66" s="72" t="s">
        <v>30</v>
      </c>
      <c r="I66" s="71" t="s">
        <v>12</v>
      </c>
      <c r="J66" s="14" t="s">
        <v>31</v>
      </c>
      <c r="K66" s="72" t="s">
        <v>30</v>
      </c>
      <c r="L66" s="71" t="s">
        <v>12</v>
      </c>
      <c r="M66" s="14" t="s">
        <v>31</v>
      </c>
      <c r="N66" s="72" t="s">
        <v>30</v>
      </c>
    </row>
    <row r="67" spans="1:15" ht="21" x14ac:dyDescent="0.35">
      <c r="A67" s="79"/>
      <c r="B67" s="24" t="s">
        <v>6</v>
      </c>
      <c r="C67" s="28" t="s">
        <v>13</v>
      </c>
      <c r="D67" s="61">
        <f>SUM(D68+D74+D81)</f>
        <v>948678</v>
      </c>
      <c r="E67" s="29" t="s">
        <v>13</v>
      </c>
      <c r="F67" s="28" t="s">
        <v>13</v>
      </c>
      <c r="G67" s="61">
        <f>SUM(G68+G74+G81)</f>
        <v>1557000</v>
      </c>
      <c r="H67" s="29" t="s">
        <v>13</v>
      </c>
      <c r="I67" s="28" t="s">
        <v>13</v>
      </c>
      <c r="J67" s="61">
        <f>SUM(J68+J74+J81)</f>
        <v>1573500</v>
      </c>
      <c r="K67" s="29" t="s">
        <v>13</v>
      </c>
      <c r="L67" s="28" t="s">
        <v>13</v>
      </c>
      <c r="M67" s="61">
        <f>SUM(M68+M74+M81)</f>
        <v>1591200</v>
      </c>
      <c r="N67" s="29" t="s">
        <v>13</v>
      </c>
      <c r="O67" s="78"/>
    </row>
    <row r="68" spans="1:15" s="60" customFormat="1" x14ac:dyDescent="0.25">
      <c r="B68" s="24" t="s">
        <v>29</v>
      </c>
      <c r="C68" s="26"/>
      <c r="D68" s="34">
        <f>SUM(D69:D73)</f>
        <v>780000</v>
      </c>
      <c r="E68" s="27"/>
      <c r="F68" s="26"/>
      <c r="G68" s="34">
        <f>SUM(G69:G73)</f>
        <v>770000</v>
      </c>
      <c r="H68" s="27"/>
      <c r="I68" s="26"/>
      <c r="J68" s="34">
        <f>SUM(J69:J73)</f>
        <v>770000</v>
      </c>
      <c r="K68" s="27"/>
      <c r="L68" s="26"/>
      <c r="M68" s="34">
        <f>SUM(M69:M73)</f>
        <v>770000</v>
      </c>
      <c r="N68" s="27"/>
    </row>
    <row r="69" spans="1:15" x14ac:dyDescent="0.25">
      <c r="B69" s="25"/>
      <c r="C69" s="30" t="s">
        <v>115</v>
      </c>
      <c r="D69" s="2">
        <v>90000</v>
      </c>
      <c r="E69" s="31" t="s">
        <v>116</v>
      </c>
      <c r="F69" s="30" t="s">
        <v>115</v>
      </c>
      <c r="G69" s="2">
        <f>D69</f>
        <v>90000</v>
      </c>
      <c r="H69" s="31" t="s">
        <v>117</v>
      </c>
      <c r="I69" s="30" t="s">
        <v>115</v>
      </c>
      <c r="J69" s="2">
        <f>G69</f>
        <v>90000</v>
      </c>
      <c r="K69" s="31" t="s">
        <v>117</v>
      </c>
      <c r="L69" s="30" t="s">
        <v>115</v>
      </c>
      <c r="M69" s="2">
        <f>J69</f>
        <v>90000</v>
      </c>
      <c r="N69" s="31" t="s">
        <v>117</v>
      </c>
    </row>
    <row r="70" spans="1:15" x14ac:dyDescent="0.25">
      <c r="B70" s="25"/>
      <c r="C70" s="30" t="s">
        <v>115</v>
      </c>
      <c r="D70" s="2">
        <v>120000</v>
      </c>
      <c r="E70" s="31" t="s">
        <v>119</v>
      </c>
      <c r="F70" s="30" t="s">
        <v>115</v>
      </c>
      <c r="G70" s="2">
        <f>D70</f>
        <v>120000</v>
      </c>
      <c r="H70" s="31" t="s">
        <v>119</v>
      </c>
      <c r="I70" s="30" t="s">
        <v>115</v>
      </c>
      <c r="J70" s="2">
        <f>G70</f>
        <v>120000</v>
      </c>
      <c r="K70" s="31" t="s">
        <v>119</v>
      </c>
      <c r="L70" s="30" t="s">
        <v>115</v>
      </c>
      <c r="M70" s="2">
        <f>J70</f>
        <v>120000</v>
      </c>
      <c r="N70" s="31" t="s">
        <v>119</v>
      </c>
    </row>
    <row r="71" spans="1:15" x14ac:dyDescent="0.25">
      <c r="B71" s="25"/>
      <c r="C71" s="30" t="s">
        <v>115</v>
      </c>
      <c r="D71" s="204">
        <f>550000</f>
        <v>550000</v>
      </c>
      <c r="E71" s="31" t="s">
        <v>106</v>
      </c>
      <c r="F71" s="30" t="s">
        <v>115</v>
      </c>
      <c r="G71" s="2">
        <v>540000</v>
      </c>
      <c r="H71" s="31" t="s">
        <v>106</v>
      </c>
      <c r="I71" s="30" t="s">
        <v>115</v>
      </c>
      <c r="J71" s="2">
        <f t="shared" ref="J71:J72" si="10">G71</f>
        <v>540000</v>
      </c>
      <c r="K71" s="31" t="s">
        <v>106</v>
      </c>
      <c r="L71" s="30" t="s">
        <v>115</v>
      </c>
      <c r="M71" s="2">
        <f t="shared" ref="M71:M72" si="11">J71</f>
        <v>540000</v>
      </c>
      <c r="N71" s="31" t="s">
        <v>106</v>
      </c>
    </row>
    <row r="72" spans="1:15" x14ac:dyDescent="0.25">
      <c r="B72" s="25"/>
      <c r="C72" s="30" t="s">
        <v>115</v>
      </c>
      <c r="D72" s="2">
        <v>20000</v>
      </c>
      <c r="E72" s="31" t="s">
        <v>105</v>
      </c>
      <c r="F72" s="30" t="s">
        <v>115</v>
      </c>
      <c r="G72" s="2">
        <f t="shared" ref="G72" si="12">D72</f>
        <v>20000</v>
      </c>
      <c r="H72" s="31" t="s">
        <v>105</v>
      </c>
      <c r="I72" s="30" t="s">
        <v>115</v>
      </c>
      <c r="J72" s="2">
        <f t="shared" si="10"/>
        <v>20000</v>
      </c>
      <c r="K72" s="31" t="s">
        <v>105</v>
      </c>
      <c r="L72" s="30" t="s">
        <v>115</v>
      </c>
      <c r="M72" s="2">
        <f t="shared" si="11"/>
        <v>20000</v>
      </c>
      <c r="N72" s="31" t="s">
        <v>105</v>
      </c>
    </row>
    <row r="73" spans="1:15" x14ac:dyDescent="0.25">
      <c r="B73" s="25"/>
      <c r="C73" s="30"/>
      <c r="D73" s="2"/>
      <c r="E73" s="31"/>
      <c r="F73" s="30" t="s">
        <v>1</v>
      </c>
      <c r="G73" s="2"/>
      <c r="H73" s="31"/>
      <c r="I73" s="30" t="s">
        <v>1</v>
      </c>
      <c r="J73" s="2"/>
      <c r="K73" s="31"/>
      <c r="L73" s="30" t="s">
        <v>1</v>
      </c>
      <c r="M73" s="2"/>
      <c r="N73" s="31"/>
    </row>
    <row r="74" spans="1:15" s="60" customFormat="1" x14ac:dyDescent="0.25">
      <c r="B74" s="24" t="s">
        <v>43</v>
      </c>
      <c r="C74" s="26"/>
      <c r="D74" s="34">
        <f>SUM(D75:D80)</f>
        <v>78678</v>
      </c>
      <c r="E74" s="27"/>
      <c r="F74" s="26"/>
      <c r="G74" s="34">
        <f>SUM(G75:G80)</f>
        <v>235500</v>
      </c>
      <c r="H74" s="27"/>
      <c r="I74" s="26"/>
      <c r="J74" s="34">
        <f>SUM(J75:J80)</f>
        <v>252000</v>
      </c>
      <c r="K74" s="27"/>
      <c r="L74" s="26"/>
      <c r="M74" s="34">
        <f>SUM(M75:M80)</f>
        <v>269700</v>
      </c>
      <c r="N74" s="27"/>
    </row>
    <row r="75" spans="1:15" x14ac:dyDescent="0.25">
      <c r="B75" s="25"/>
      <c r="C75" s="121" t="s">
        <v>64</v>
      </c>
      <c r="D75" s="202">
        <f>38300/2</f>
        <v>19150</v>
      </c>
      <c r="E75" s="31" t="s">
        <v>110</v>
      </c>
      <c r="F75" s="121" t="s">
        <v>64</v>
      </c>
      <c r="G75" s="2">
        <f>ROUND(D75*1.07/100,0)*100</f>
        <v>20500</v>
      </c>
      <c r="H75" s="31" t="s">
        <v>110</v>
      </c>
      <c r="I75" s="121" t="s">
        <v>64</v>
      </c>
      <c r="J75" s="2">
        <f t="shared" ref="J75:J80" si="13">ROUND(G75*1.07/100,0)*100</f>
        <v>21900</v>
      </c>
      <c r="K75" s="31" t="s">
        <v>110</v>
      </c>
      <c r="L75" s="121" t="s">
        <v>64</v>
      </c>
      <c r="M75" s="2">
        <f t="shared" ref="M75:M80" si="14">ROUND(J75*1.07/100,0)*100</f>
        <v>23400</v>
      </c>
      <c r="N75" s="31" t="s">
        <v>110</v>
      </c>
    </row>
    <row r="76" spans="1:15" x14ac:dyDescent="0.25">
      <c r="B76" s="25"/>
      <c r="C76" s="121" t="s">
        <v>64</v>
      </c>
      <c r="D76" s="202">
        <f>41700/2</f>
        <v>20850</v>
      </c>
      <c r="E76" s="31" t="s">
        <v>111</v>
      </c>
      <c r="F76" s="121" t="s">
        <v>64</v>
      </c>
      <c r="G76" s="2">
        <f>ROUND(D76*1.07/100,0)*100</f>
        <v>22300</v>
      </c>
      <c r="H76" s="31" t="s">
        <v>111</v>
      </c>
      <c r="I76" s="121" t="s">
        <v>64</v>
      </c>
      <c r="J76" s="2">
        <f t="shared" si="13"/>
        <v>23900</v>
      </c>
      <c r="K76" s="31" t="s">
        <v>111</v>
      </c>
      <c r="L76" s="121" t="s">
        <v>64</v>
      </c>
      <c r="M76" s="2">
        <f t="shared" si="14"/>
        <v>25600</v>
      </c>
      <c r="N76" s="31" t="s">
        <v>111</v>
      </c>
    </row>
    <row r="77" spans="1:15" x14ac:dyDescent="0.25">
      <c r="B77" s="25"/>
      <c r="C77" s="121" t="s">
        <v>64</v>
      </c>
      <c r="D77" s="202">
        <f>78300/2-472</f>
        <v>38678</v>
      </c>
      <c r="E77" s="31" t="s">
        <v>112</v>
      </c>
      <c r="F77" s="121" t="s">
        <v>64</v>
      </c>
      <c r="G77" s="2">
        <f>ROUND(D77*1.07/100,0)*100</f>
        <v>41400</v>
      </c>
      <c r="H77" s="31" t="s">
        <v>112</v>
      </c>
      <c r="I77" s="121" t="s">
        <v>64</v>
      </c>
      <c r="J77" s="2">
        <f t="shared" si="13"/>
        <v>44300</v>
      </c>
      <c r="K77" s="31" t="s">
        <v>112</v>
      </c>
      <c r="L77" s="121" t="s">
        <v>64</v>
      </c>
      <c r="M77" s="2">
        <f t="shared" si="14"/>
        <v>47400</v>
      </c>
      <c r="N77" s="31" t="s">
        <v>112</v>
      </c>
    </row>
    <row r="78" spans="1:15" x14ac:dyDescent="0.25">
      <c r="B78" s="25"/>
      <c r="C78" s="121"/>
      <c r="D78" s="2"/>
      <c r="E78" s="31"/>
      <c r="F78" s="121" t="s">
        <v>64</v>
      </c>
      <c r="G78" s="2">
        <v>78300</v>
      </c>
      <c r="H78" s="31" t="s">
        <v>113</v>
      </c>
      <c r="I78" s="121" t="s">
        <v>64</v>
      </c>
      <c r="J78" s="2">
        <f t="shared" si="13"/>
        <v>83800</v>
      </c>
      <c r="K78" s="31" t="s">
        <v>113</v>
      </c>
      <c r="L78" s="121" t="s">
        <v>64</v>
      </c>
      <c r="M78" s="2">
        <f t="shared" si="14"/>
        <v>89700</v>
      </c>
      <c r="N78" s="31" t="s">
        <v>113</v>
      </c>
    </row>
    <row r="79" spans="1:15" x14ac:dyDescent="0.25">
      <c r="B79" s="25"/>
      <c r="C79" s="30"/>
      <c r="D79" s="2"/>
      <c r="E79" s="31"/>
      <c r="F79" s="121" t="s">
        <v>64</v>
      </c>
      <c r="G79" s="2">
        <v>45200</v>
      </c>
      <c r="H79" s="31" t="s">
        <v>114</v>
      </c>
      <c r="I79" s="121" t="s">
        <v>64</v>
      </c>
      <c r="J79" s="2">
        <f t="shared" si="13"/>
        <v>48400</v>
      </c>
      <c r="K79" s="31" t="s">
        <v>114</v>
      </c>
      <c r="L79" s="121" t="s">
        <v>64</v>
      </c>
      <c r="M79" s="2">
        <f t="shared" si="14"/>
        <v>51800</v>
      </c>
      <c r="N79" s="31" t="s">
        <v>114</v>
      </c>
    </row>
    <row r="80" spans="1:15" x14ac:dyDescent="0.25">
      <c r="B80" s="25"/>
      <c r="C80" s="30"/>
      <c r="D80" s="2"/>
      <c r="E80" s="31"/>
      <c r="F80" s="121" t="s">
        <v>64</v>
      </c>
      <c r="G80" s="2">
        <v>27800</v>
      </c>
      <c r="H80" s="31" t="s">
        <v>244</v>
      </c>
      <c r="I80" s="121" t="s">
        <v>64</v>
      </c>
      <c r="J80" s="2">
        <f t="shared" si="13"/>
        <v>29700</v>
      </c>
      <c r="K80" s="31" t="s">
        <v>244</v>
      </c>
      <c r="L80" s="121" t="s">
        <v>64</v>
      </c>
      <c r="M80" s="2">
        <f t="shared" si="14"/>
        <v>31800</v>
      </c>
      <c r="N80" s="31" t="s">
        <v>244</v>
      </c>
    </row>
    <row r="81" spans="1:14" s="60" customFormat="1" x14ac:dyDescent="0.25">
      <c r="B81" s="24" t="s">
        <v>54</v>
      </c>
      <c r="C81" s="26"/>
      <c r="D81" s="34">
        <f>SUM(D82:D88)</f>
        <v>90000</v>
      </c>
      <c r="E81" s="27"/>
      <c r="F81" s="26"/>
      <c r="G81" s="34">
        <f>SUM(G82:G88)</f>
        <v>551500</v>
      </c>
      <c r="H81" s="27"/>
      <c r="I81" s="26"/>
      <c r="J81" s="34">
        <f>SUM(J82:J88)</f>
        <v>551500</v>
      </c>
      <c r="K81" s="27"/>
      <c r="L81" s="26"/>
      <c r="M81" s="34">
        <f>SUM(M82:M88)</f>
        <v>551500</v>
      </c>
      <c r="N81" s="27"/>
    </row>
    <row r="82" spans="1:14" x14ac:dyDescent="0.25">
      <c r="B82" s="25"/>
      <c r="C82" s="30" t="s">
        <v>118</v>
      </c>
      <c r="D82" s="2">
        <v>30000</v>
      </c>
      <c r="E82" s="31" t="s">
        <v>116</v>
      </c>
      <c r="F82" s="30" t="s">
        <v>118</v>
      </c>
      <c r="G82" s="2">
        <f>D82</f>
        <v>30000</v>
      </c>
      <c r="H82" s="31" t="s">
        <v>117</v>
      </c>
      <c r="I82" s="30" t="s">
        <v>118</v>
      </c>
      <c r="J82" s="2">
        <f>G82</f>
        <v>30000</v>
      </c>
      <c r="K82" s="31" t="s">
        <v>117</v>
      </c>
      <c r="L82" s="30" t="s">
        <v>118</v>
      </c>
      <c r="M82" s="2">
        <f>J82</f>
        <v>30000</v>
      </c>
      <c r="N82" s="31" t="s">
        <v>117</v>
      </c>
    </row>
    <row r="83" spans="1:14" x14ac:dyDescent="0.25">
      <c r="B83" s="25"/>
      <c r="C83" s="30" t="s">
        <v>118</v>
      </c>
      <c r="D83" s="122">
        <v>0</v>
      </c>
      <c r="E83" s="123" t="s">
        <v>106</v>
      </c>
      <c r="F83" s="30" t="s">
        <v>118</v>
      </c>
      <c r="G83" s="2">
        <v>75000</v>
      </c>
      <c r="H83" s="123" t="s">
        <v>106</v>
      </c>
      <c r="I83" s="30" t="s">
        <v>118</v>
      </c>
      <c r="J83" s="2">
        <f t="shared" ref="J83" si="15">G83</f>
        <v>75000</v>
      </c>
      <c r="K83" s="123" t="s">
        <v>106</v>
      </c>
      <c r="L83" s="30" t="s">
        <v>118</v>
      </c>
      <c r="M83" s="2">
        <f t="shared" ref="M83" si="16">J83</f>
        <v>75000</v>
      </c>
      <c r="N83" s="123" t="s">
        <v>106</v>
      </c>
    </row>
    <row r="84" spans="1:14" x14ac:dyDescent="0.25">
      <c r="B84" s="25"/>
      <c r="C84" s="30" t="s">
        <v>120</v>
      </c>
      <c r="D84" s="122">
        <v>0</v>
      </c>
      <c r="E84" s="123" t="s">
        <v>106</v>
      </c>
      <c r="F84" s="30" t="s">
        <v>120</v>
      </c>
      <c r="G84" s="2">
        <v>300000</v>
      </c>
      <c r="H84" s="123" t="s">
        <v>106</v>
      </c>
      <c r="I84" s="30" t="s">
        <v>120</v>
      </c>
      <c r="J84" s="2">
        <f t="shared" ref="J84" si="17">G84</f>
        <v>300000</v>
      </c>
      <c r="K84" s="123" t="s">
        <v>106</v>
      </c>
      <c r="L84" s="30" t="s">
        <v>120</v>
      </c>
      <c r="M84" s="2">
        <f t="shared" ref="M84" si="18">J84</f>
        <v>300000</v>
      </c>
      <c r="N84" s="123" t="s">
        <v>106</v>
      </c>
    </row>
    <row r="85" spans="1:14" x14ac:dyDescent="0.25">
      <c r="B85" s="25"/>
      <c r="C85" s="30" t="s">
        <v>122</v>
      </c>
      <c r="D85" s="122">
        <v>60000</v>
      </c>
      <c r="E85" s="123" t="s">
        <v>106</v>
      </c>
      <c r="F85" s="30" t="s">
        <v>122</v>
      </c>
      <c r="G85" s="2">
        <v>84000</v>
      </c>
      <c r="H85" s="123" t="s">
        <v>106</v>
      </c>
      <c r="I85" s="30" t="s">
        <v>122</v>
      </c>
      <c r="J85" s="2">
        <f t="shared" ref="J85:J86" si="19">G85</f>
        <v>84000</v>
      </c>
      <c r="K85" s="123" t="s">
        <v>106</v>
      </c>
      <c r="L85" s="30" t="s">
        <v>122</v>
      </c>
      <c r="M85" s="2">
        <f t="shared" ref="M85:M86" si="20">J85</f>
        <v>84000</v>
      </c>
      <c r="N85" s="123" t="s">
        <v>106</v>
      </c>
    </row>
    <row r="86" spans="1:14" x14ac:dyDescent="0.25">
      <c r="B86" s="25"/>
      <c r="C86" s="30" t="s">
        <v>118</v>
      </c>
      <c r="D86" s="122">
        <v>0</v>
      </c>
      <c r="E86" s="123"/>
      <c r="F86" s="30" t="s">
        <v>118</v>
      </c>
      <c r="G86" s="122">
        <v>57000</v>
      </c>
      <c r="H86" s="123" t="s">
        <v>121</v>
      </c>
      <c r="I86" s="30" t="s">
        <v>118</v>
      </c>
      <c r="J86" s="2">
        <f t="shared" si="19"/>
        <v>57000</v>
      </c>
      <c r="K86" s="123" t="s">
        <v>105</v>
      </c>
      <c r="L86" s="30" t="s">
        <v>118</v>
      </c>
      <c r="M86" s="2">
        <f t="shared" si="20"/>
        <v>57000</v>
      </c>
      <c r="N86" s="123" t="s">
        <v>105</v>
      </c>
    </row>
    <row r="87" spans="1:14" x14ac:dyDescent="0.25">
      <c r="B87" s="25"/>
      <c r="C87" s="30" t="s">
        <v>120</v>
      </c>
      <c r="D87" s="122"/>
      <c r="E87" s="123"/>
      <c r="F87" s="30" t="s">
        <v>120</v>
      </c>
      <c r="G87" s="122">
        <v>5500</v>
      </c>
      <c r="H87" s="123" t="s">
        <v>121</v>
      </c>
      <c r="I87" s="30" t="s">
        <v>118</v>
      </c>
      <c r="J87" s="122">
        <v>5500</v>
      </c>
      <c r="K87" s="123" t="s">
        <v>105</v>
      </c>
      <c r="L87" s="30" t="s">
        <v>120</v>
      </c>
      <c r="M87" s="122">
        <v>5500</v>
      </c>
      <c r="N87" s="123" t="s">
        <v>105</v>
      </c>
    </row>
    <row r="88" spans="1:14" ht="15.75" thickBot="1" x14ac:dyDescent="0.3">
      <c r="B88" s="25"/>
      <c r="C88" s="32" t="s">
        <v>173</v>
      </c>
      <c r="D88" s="35"/>
      <c r="E88" s="33"/>
      <c r="F88" s="32" t="s">
        <v>1</v>
      </c>
      <c r="G88" s="35"/>
      <c r="H88" s="33"/>
      <c r="I88" s="32" t="s">
        <v>1</v>
      </c>
      <c r="J88" s="35"/>
      <c r="K88" s="33"/>
      <c r="L88" s="32" t="s">
        <v>1</v>
      </c>
      <c r="M88" s="35"/>
      <c r="N88" s="33"/>
    </row>
    <row r="89" spans="1:14" s="81" customFormat="1" x14ac:dyDescent="0.25"/>
    <row r="90" spans="1:14" s="81" customFormat="1" ht="21" x14ac:dyDescent="0.25">
      <c r="A90" s="23" t="s">
        <v>32</v>
      </c>
    </row>
    <row r="91" spans="1:14" s="81" customFormat="1" ht="18.75" x14ac:dyDescent="0.3">
      <c r="A91" s="6"/>
      <c r="B91"/>
      <c r="C91"/>
      <c r="D91"/>
      <c r="E91"/>
    </row>
    <row r="92" spans="1:14" s="7" customFormat="1" ht="75" x14ac:dyDescent="0.35">
      <c r="A92" s="80"/>
      <c r="B92" s="68" t="s">
        <v>33</v>
      </c>
      <c r="C92" s="68" t="s">
        <v>34</v>
      </c>
      <c r="D92" s="68" t="s">
        <v>63</v>
      </c>
      <c r="E92" s="68" t="s">
        <v>35</v>
      </c>
      <c r="F92" s="68" t="s">
        <v>61</v>
      </c>
    </row>
    <row r="93" spans="1:14" s="81" customFormat="1" ht="75" x14ac:dyDescent="0.25">
      <c r="B93" s="85" t="s">
        <v>131</v>
      </c>
      <c r="C93" s="85" t="s">
        <v>132</v>
      </c>
      <c r="D93" s="85" t="s">
        <v>134</v>
      </c>
      <c r="E93" s="85" t="s">
        <v>137</v>
      </c>
      <c r="F93" s="85" t="s">
        <v>133</v>
      </c>
    </row>
    <row r="94" spans="1:14" s="81" customFormat="1" ht="150" x14ac:dyDescent="0.25">
      <c r="B94" s="85" t="s">
        <v>135</v>
      </c>
      <c r="C94" s="85" t="s">
        <v>132</v>
      </c>
      <c r="D94" s="85" t="s">
        <v>136</v>
      </c>
      <c r="E94" s="85" t="s">
        <v>137</v>
      </c>
      <c r="F94" s="85" t="s">
        <v>133</v>
      </c>
    </row>
    <row r="95" spans="1:14" s="81" customFormat="1" ht="105" x14ac:dyDescent="0.25">
      <c r="B95" s="85" t="s">
        <v>245</v>
      </c>
      <c r="C95" s="85" t="s">
        <v>132</v>
      </c>
      <c r="D95" s="85" t="s">
        <v>246</v>
      </c>
      <c r="E95" s="85" t="s">
        <v>137</v>
      </c>
      <c r="F95" s="85" t="s">
        <v>133</v>
      </c>
    </row>
    <row r="96" spans="1:14" s="81" customFormat="1" ht="60" x14ac:dyDescent="0.25">
      <c r="B96" s="85" t="s">
        <v>247</v>
      </c>
      <c r="C96" s="85" t="s">
        <v>132</v>
      </c>
      <c r="D96" s="85" t="s">
        <v>248</v>
      </c>
      <c r="E96" s="85" t="s">
        <v>137</v>
      </c>
      <c r="F96" s="85" t="s">
        <v>133</v>
      </c>
    </row>
    <row r="97" s="81" customFormat="1" x14ac:dyDescent="0.25"/>
    <row r="98" s="81" customFormat="1" x14ac:dyDescent="0.25"/>
    <row r="99" s="81" customFormat="1" x14ac:dyDescent="0.25"/>
    <row r="100" s="81" customFormat="1" x14ac:dyDescent="0.25"/>
    <row r="101" s="81" customFormat="1" x14ac:dyDescent="0.25"/>
    <row r="102" s="81" customFormat="1" x14ac:dyDescent="0.25"/>
    <row r="103" s="81" customFormat="1" x14ac:dyDescent="0.25"/>
    <row r="104" s="81" customFormat="1" x14ac:dyDescent="0.25"/>
    <row r="105" s="81" customFormat="1" x14ac:dyDescent="0.25"/>
    <row r="106" s="81" customFormat="1" x14ac:dyDescent="0.25"/>
    <row r="107" s="81" customFormat="1" x14ac:dyDescent="0.25"/>
    <row r="108" s="81" customFormat="1" x14ac:dyDescent="0.25"/>
    <row r="109" s="81" customFormat="1" x14ac:dyDescent="0.25"/>
    <row r="110" s="81" customFormat="1" x14ac:dyDescent="0.25"/>
    <row r="111" s="81" customFormat="1" x14ac:dyDescent="0.25"/>
    <row r="112" s="81" customFormat="1" x14ac:dyDescent="0.25"/>
    <row r="113" s="81" customFormat="1" x14ac:dyDescent="0.25"/>
    <row r="114" s="81" customFormat="1" x14ac:dyDescent="0.25"/>
    <row r="115" s="81" customFormat="1" x14ac:dyDescent="0.25"/>
    <row r="116" s="81" customFormat="1" x14ac:dyDescent="0.25"/>
    <row r="117" s="81" customFormat="1" x14ac:dyDescent="0.25"/>
    <row r="118" s="81" customFormat="1" x14ac:dyDescent="0.25"/>
    <row r="119" s="81" customFormat="1" x14ac:dyDescent="0.25"/>
    <row r="120" s="81" customFormat="1" x14ac:dyDescent="0.25"/>
    <row r="121" s="81" customFormat="1" x14ac:dyDescent="0.25"/>
    <row r="122" s="81" customFormat="1" x14ac:dyDescent="0.25"/>
    <row r="123" s="81" customFormat="1" x14ac:dyDescent="0.25"/>
    <row r="124" s="81" customFormat="1" x14ac:dyDescent="0.25"/>
    <row r="125" s="81" customFormat="1" x14ac:dyDescent="0.25"/>
    <row r="126" s="81" customFormat="1" x14ac:dyDescent="0.25"/>
    <row r="127" s="81" customFormat="1" x14ac:dyDescent="0.25"/>
    <row r="128" s="81" customFormat="1" x14ac:dyDescent="0.25"/>
    <row r="129" s="81" customFormat="1" x14ac:dyDescent="0.25"/>
    <row r="130" s="81" customFormat="1" x14ac:dyDescent="0.25"/>
    <row r="131" s="81" customFormat="1" x14ac:dyDescent="0.25"/>
    <row r="132" s="81" customFormat="1" x14ac:dyDescent="0.25"/>
    <row r="133" s="81" customFormat="1" x14ac:dyDescent="0.25"/>
    <row r="134" s="81" customFormat="1" x14ac:dyDescent="0.25"/>
    <row r="135" s="81" customFormat="1" x14ac:dyDescent="0.25"/>
    <row r="136" s="81" customFormat="1" x14ac:dyDescent="0.25"/>
    <row r="137" s="81" customFormat="1" x14ac:dyDescent="0.25"/>
    <row r="138" s="81" customFormat="1" x14ac:dyDescent="0.25"/>
    <row r="139" s="81" customFormat="1" x14ac:dyDescent="0.25"/>
    <row r="140" s="81" customFormat="1" x14ac:dyDescent="0.25"/>
    <row r="141" s="81" customFormat="1" x14ac:dyDescent="0.25"/>
    <row r="142" s="81" customFormat="1" x14ac:dyDescent="0.25"/>
    <row r="143" s="81" customFormat="1" x14ac:dyDescent="0.25"/>
    <row r="144" s="81" customFormat="1" x14ac:dyDescent="0.25"/>
    <row r="145" s="81" customFormat="1" x14ac:dyDescent="0.25"/>
    <row r="146" s="81" customFormat="1" x14ac:dyDescent="0.25"/>
    <row r="147" s="81" customFormat="1" x14ac:dyDescent="0.25"/>
    <row r="148" s="81" customFormat="1" x14ac:dyDescent="0.25"/>
    <row r="149" s="81" customFormat="1" x14ac:dyDescent="0.25"/>
    <row r="150" s="81" customFormat="1" x14ac:dyDescent="0.25"/>
    <row r="151" s="81" customFormat="1" x14ac:dyDescent="0.25"/>
    <row r="152" s="81" customFormat="1" x14ac:dyDescent="0.25"/>
    <row r="153" s="81" customFormat="1" x14ac:dyDescent="0.25"/>
    <row r="154" s="81" customFormat="1" x14ac:dyDescent="0.25"/>
    <row r="155" s="81" customFormat="1" x14ac:dyDescent="0.25"/>
    <row r="156" s="81" customFormat="1" x14ac:dyDescent="0.25"/>
    <row r="157" s="81" customFormat="1" x14ac:dyDescent="0.25"/>
    <row r="158" s="81" customFormat="1" x14ac:dyDescent="0.25"/>
    <row r="159" s="81" customFormat="1" x14ac:dyDescent="0.25"/>
    <row r="160" s="81" customFormat="1" x14ac:dyDescent="0.25"/>
    <row r="161" s="81" customFormat="1" x14ac:dyDescent="0.25"/>
    <row r="162" s="81" customFormat="1" x14ac:dyDescent="0.25"/>
    <row r="163" s="81" customFormat="1" x14ac:dyDescent="0.25"/>
    <row r="164" s="81" customFormat="1" x14ac:dyDescent="0.25"/>
    <row r="165" s="81" customFormat="1" x14ac:dyDescent="0.25"/>
    <row r="166" s="81" customFormat="1" x14ac:dyDescent="0.25"/>
    <row r="167" s="81" customFormat="1" x14ac:dyDescent="0.25"/>
    <row r="168" s="81" customFormat="1" x14ac:dyDescent="0.25"/>
    <row r="169" s="81" customFormat="1" x14ac:dyDescent="0.25"/>
    <row r="170" s="81" customFormat="1" x14ac:dyDescent="0.25"/>
    <row r="171" s="81" customFormat="1" x14ac:dyDescent="0.25"/>
    <row r="172" s="81" customFormat="1" x14ac:dyDescent="0.25"/>
    <row r="173" s="81" customFormat="1" x14ac:dyDescent="0.25"/>
    <row r="174" s="81" customFormat="1" x14ac:dyDescent="0.25"/>
    <row r="175" s="81" customFormat="1" x14ac:dyDescent="0.25"/>
    <row r="176" s="81" customFormat="1" x14ac:dyDescent="0.25"/>
    <row r="177" s="81" customFormat="1" x14ac:dyDescent="0.25"/>
    <row r="178" s="81" customFormat="1" x14ac:dyDescent="0.25"/>
    <row r="179" s="81" customFormat="1" x14ac:dyDescent="0.25"/>
    <row r="180" s="81" customFormat="1" x14ac:dyDescent="0.25"/>
    <row r="181" s="81" customFormat="1" x14ac:dyDescent="0.25"/>
    <row r="182" s="81" customFormat="1" x14ac:dyDescent="0.25"/>
    <row r="183" s="81" customFormat="1" x14ac:dyDescent="0.25"/>
    <row r="184" s="81" customFormat="1" x14ac:dyDescent="0.25"/>
    <row r="185" s="81" customFormat="1" x14ac:dyDescent="0.25"/>
    <row r="186" s="81" customFormat="1" x14ac:dyDescent="0.25"/>
    <row r="187" s="81" customFormat="1" x14ac:dyDescent="0.25"/>
    <row r="188" s="81" customFormat="1" x14ac:dyDescent="0.25"/>
    <row r="189" s="81" customFormat="1" x14ac:dyDescent="0.25"/>
    <row r="190" s="81" customFormat="1" x14ac:dyDescent="0.25"/>
    <row r="191" s="81" customFormat="1" x14ac:dyDescent="0.25"/>
    <row r="192" s="81" customFormat="1" x14ac:dyDescent="0.25"/>
    <row r="193" s="81" customFormat="1" x14ac:dyDescent="0.25"/>
    <row r="194" s="81" customFormat="1" x14ac:dyDescent="0.25"/>
    <row r="195" s="81" customFormat="1" x14ac:dyDescent="0.25"/>
    <row r="196" s="81" customFormat="1" x14ac:dyDescent="0.25"/>
    <row r="197" s="81" customFormat="1" x14ac:dyDescent="0.25"/>
    <row r="198" s="81" customFormat="1" x14ac:dyDescent="0.25"/>
    <row r="199" s="81" customFormat="1" x14ac:dyDescent="0.25"/>
    <row r="200" s="81" customFormat="1" x14ac:dyDescent="0.25"/>
    <row r="201" s="81" customFormat="1" x14ac:dyDescent="0.25"/>
    <row r="202" s="81" customFormat="1" x14ac:dyDescent="0.25"/>
    <row r="203" s="81" customFormat="1" x14ac:dyDescent="0.25"/>
    <row r="204" s="81" customFormat="1" x14ac:dyDescent="0.25"/>
    <row r="205" s="81" customFormat="1" x14ac:dyDescent="0.25"/>
    <row r="206" s="81" customFormat="1" x14ac:dyDescent="0.25"/>
    <row r="207" s="81" customFormat="1" x14ac:dyDescent="0.25"/>
    <row r="208" s="81" customFormat="1" x14ac:dyDescent="0.25"/>
    <row r="209" s="81" customFormat="1" x14ac:dyDescent="0.25"/>
    <row r="210" s="81" customFormat="1" x14ac:dyDescent="0.25"/>
    <row r="211" s="81" customFormat="1" x14ac:dyDescent="0.25"/>
    <row r="212" s="81" customFormat="1" x14ac:dyDescent="0.25"/>
    <row r="213" s="81" customFormat="1" x14ac:dyDescent="0.25"/>
    <row r="214" s="81" customFormat="1" x14ac:dyDescent="0.25"/>
    <row r="215" s="81" customFormat="1" x14ac:dyDescent="0.25"/>
    <row r="216" s="81" customFormat="1" x14ac:dyDescent="0.25"/>
    <row r="217" s="81" customFormat="1" x14ac:dyDescent="0.25"/>
    <row r="218" s="81" customFormat="1" x14ac:dyDescent="0.25"/>
    <row r="219" s="81" customFormat="1" x14ac:dyDescent="0.25"/>
    <row r="220" s="81" customFormat="1" x14ac:dyDescent="0.25"/>
    <row r="221" s="81" customFormat="1" x14ac:dyDescent="0.25"/>
    <row r="222" s="81" customFormat="1" x14ac:dyDescent="0.25"/>
    <row r="223" s="81" customFormat="1" x14ac:dyDescent="0.25"/>
    <row r="224" s="81" customFormat="1" x14ac:dyDescent="0.25"/>
    <row r="225" s="81" customFormat="1" x14ac:dyDescent="0.25"/>
    <row r="226" s="81" customFormat="1" x14ac:dyDescent="0.25"/>
    <row r="227" s="81" customFormat="1" x14ac:dyDescent="0.25"/>
    <row r="228" s="81" customFormat="1" x14ac:dyDescent="0.25"/>
    <row r="229" s="81" customFormat="1" x14ac:dyDescent="0.25"/>
    <row r="230" s="81" customFormat="1" x14ac:dyDescent="0.25"/>
    <row r="231" s="81" customFormat="1" x14ac:dyDescent="0.25"/>
    <row r="232" s="81" customFormat="1" x14ac:dyDescent="0.25"/>
    <row r="233" s="81" customFormat="1" x14ac:dyDescent="0.25"/>
    <row r="234" s="81" customFormat="1" x14ac:dyDescent="0.25"/>
    <row r="235" s="81" customFormat="1" x14ac:dyDescent="0.25"/>
    <row r="236" s="81" customFormat="1" x14ac:dyDescent="0.25"/>
    <row r="237" s="81" customFormat="1" x14ac:dyDescent="0.25"/>
    <row r="238" s="81" customFormat="1" x14ac:dyDescent="0.25"/>
    <row r="239" s="81" customFormat="1" x14ac:dyDescent="0.25"/>
    <row r="240" s="81" customFormat="1" x14ac:dyDescent="0.25"/>
    <row r="241" s="81" customFormat="1" x14ac:dyDescent="0.25"/>
    <row r="242" s="81" customFormat="1" x14ac:dyDescent="0.25"/>
    <row r="243" s="81" customFormat="1" x14ac:dyDescent="0.25"/>
    <row r="244" s="81" customFormat="1" x14ac:dyDescent="0.25"/>
    <row r="245" s="81" customFormat="1" x14ac:dyDescent="0.25"/>
    <row r="246" s="81" customFormat="1" x14ac:dyDescent="0.25"/>
    <row r="247" s="81" customFormat="1" x14ac:dyDescent="0.25"/>
    <row r="248" s="81" customFormat="1" x14ac:dyDescent="0.25"/>
    <row r="249" s="81" customFormat="1" x14ac:dyDescent="0.25"/>
    <row r="250" s="81" customFormat="1" x14ac:dyDescent="0.25"/>
  </sheetData>
  <customSheetViews>
    <customSheetView guid="{B6CE57D0-3B00-4AA5-8045-5810B3AC38EF}">
      <selection activeCell="H50" sqref="H50"/>
      <pageMargins left="0.7" right="0.7" top="0.75" bottom="0.75" header="0.3" footer="0.3"/>
      <pageSetup paperSize="9" orientation="portrait" r:id="rId1"/>
    </customSheetView>
    <customSheetView guid="{C5B98205-32EA-4978-BDE9-09FE8244BB3C}" topLeftCell="A4">
      <selection activeCell="C14" sqref="C14"/>
      <pageMargins left="0.7" right="0.7" top="0.75" bottom="0.75" header="0.3" footer="0.3"/>
      <pageSetup paperSize="9" orientation="portrait" r:id="rId2"/>
    </customSheetView>
    <customSheetView guid="{10B7B1F1-9BAA-4B0F-A300-C1E3D2D5095B}" topLeftCell="A58">
      <selection activeCell="E77" sqref="E77"/>
      <pageMargins left="0.7" right="0.7" top="0.75" bottom="0.75" header="0.3" footer="0.3"/>
      <pageSetup paperSize="9" orientation="portrait" r:id="rId3"/>
    </customSheetView>
    <customSheetView guid="{A0472B5E-ED4B-42A6-A051-1D638E3EAB28}">
      <selection activeCell="H21" sqref="H21"/>
      <pageMargins left="0.7" right="0.7" top="0.75" bottom="0.75" header="0.3" footer="0.3"/>
      <pageSetup paperSize="9" orientation="portrait" r:id="rId4"/>
    </customSheetView>
  </customSheetViews>
  <mergeCells count="10">
    <mergeCell ref="C65:E65"/>
    <mergeCell ref="F65:H65"/>
    <mergeCell ref="I65:K65"/>
    <mergeCell ref="L65:N65"/>
    <mergeCell ref="B6:C6"/>
    <mergeCell ref="B7:C7"/>
    <mergeCell ref="B8:C8"/>
    <mergeCell ref="B11:I11"/>
    <mergeCell ref="B27:I27"/>
    <mergeCell ref="B52:F52"/>
  </mergeCells>
  <pageMargins left="0.7" right="0.7" top="0.75" bottom="0.75" header="0.3" footer="0.3"/>
  <pageSetup paperSize="9" orientation="portrait" r:id="rId5"/>
  <customProperties>
    <customPr name="EpmWorksheetKeyString_GUID" r:id="rId6"/>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7"/>
  <sheetViews>
    <sheetView workbookViewId="0">
      <selection activeCell="C94" sqref="C94"/>
    </sheetView>
  </sheetViews>
  <sheetFormatPr defaultRowHeight="15" x14ac:dyDescent="0.25"/>
  <cols>
    <col min="1" max="1" width="13.85546875" customWidth="1"/>
    <col min="2" max="2" width="21.140625" customWidth="1"/>
    <col min="3" max="3" width="21.7109375" customWidth="1"/>
    <col min="4" max="4" width="15.5703125" customWidth="1"/>
    <col min="5" max="5" width="29.7109375" customWidth="1"/>
    <col min="6" max="6" width="13.7109375" customWidth="1"/>
    <col min="7" max="7" width="12.85546875" customWidth="1"/>
    <col min="8" max="8" width="15" customWidth="1"/>
    <col min="9" max="9" width="19.85546875" customWidth="1"/>
    <col min="10" max="13" width="13.7109375" customWidth="1"/>
    <col min="14" max="14" width="22" customWidth="1"/>
    <col min="15" max="25" width="11.85546875" customWidth="1"/>
    <col min="26" max="28" width="29.85546875" customWidth="1"/>
  </cols>
  <sheetData>
    <row r="1" spans="1:12" ht="23.25" x14ac:dyDescent="0.35">
      <c r="A1" s="12" t="s">
        <v>39</v>
      </c>
      <c r="B1" s="12"/>
      <c r="C1" s="206" t="s">
        <v>330</v>
      </c>
      <c r="K1" s="74"/>
    </row>
    <row r="2" spans="1:12" ht="23.25" x14ac:dyDescent="0.35">
      <c r="A2" s="56" t="s">
        <v>40</v>
      </c>
      <c r="B2" s="12"/>
      <c r="C2" s="62">
        <f>SUM(D63+G63+J63+M63)</f>
        <v>8059696</v>
      </c>
      <c r="K2" s="74"/>
    </row>
    <row r="4" spans="1:12" s="13" customFormat="1" ht="21" x14ac:dyDescent="0.35">
      <c r="A4" s="13" t="s">
        <v>42</v>
      </c>
    </row>
    <row r="5" spans="1:12" ht="24" thickBot="1" x14ac:dyDescent="0.4">
      <c r="A5" s="77" t="s">
        <v>138</v>
      </c>
      <c r="D5" s="3"/>
    </row>
    <row r="6" spans="1:12" ht="16.5" customHeight="1" x14ac:dyDescent="0.25">
      <c r="B6" s="251" t="s">
        <v>7</v>
      </c>
      <c r="C6" s="252"/>
      <c r="D6" s="66">
        <f>H14</f>
        <v>3760000</v>
      </c>
    </row>
    <row r="7" spans="1:12" ht="16.5" customHeight="1" x14ac:dyDescent="0.25">
      <c r="B7" s="253" t="s">
        <v>8</v>
      </c>
      <c r="C7" s="254"/>
      <c r="D7" s="67">
        <f>H28</f>
        <v>13673263</v>
      </c>
    </row>
    <row r="8" spans="1:12" ht="16.5" customHeight="1" thickBot="1" x14ac:dyDescent="0.3">
      <c r="B8" s="255" t="s">
        <v>9</v>
      </c>
      <c r="C8" s="256"/>
      <c r="D8" s="73">
        <f>D6-D7</f>
        <v>-9913263</v>
      </c>
    </row>
    <row r="9" spans="1:12" ht="16.5" customHeight="1" x14ac:dyDescent="0.25">
      <c r="B9" s="76"/>
      <c r="C9" s="76"/>
    </row>
    <row r="10" spans="1:12" ht="16.5" customHeight="1" x14ac:dyDescent="0.25">
      <c r="A10" s="75"/>
      <c r="C10" s="128"/>
    </row>
    <row r="11" spans="1:12" ht="16.5" customHeight="1" x14ac:dyDescent="0.25">
      <c r="B11" s="257" t="s">
        <v>58</v>
      </c>
      <c r="C11" s="258"/>
      <c r="D11" s="258"/>
      <c r="E11" s="258"/>
      <c r="F11" s="258"/>
      <c r="G11" s="258"/>
      <c r="H11" s="258"/>
      <c r="I11" s="258"/>
    </row>
    <row r="12" spans="1:12" ht="16.5" customHeight="1" thickBot="1" x14ac:dyDescent="0.3">
      <c r="B12" s="4"/>
      <c r="C12" s="4"/>
    </row>
    <row r="13" spans="1:12" s="183" customFormat="1" ht="67.5" customHeight="1" thickBot="1" x14ac:dyDescent="0.4">
      <c r="A13" s="79"/>
      <c r="B13" s="55" t="s">
        <v>38</v>
      </c>
      <c r="C13" s="18">
        <v>2022</v>
      </c>
      <c r="D13" s="38">
        <v>2023</v>
      </c>
      <c r="E13" s="38">
        <v>2024</v>
      </c>
      <c r="F13" s="38">
        <v>2025</v>
      </c>
      <c r="G13" s="18">
        <v>2026</v>
      </c>
      <c r="H13" s="44" t="s">
        <v>10</v>
      </c>
      <c r="I13" s="47" t="s">
        <v>36</v>
      </c>
      <c r="J13" s="40"/>
      <c r="K13" s="41"/>
      <c r="L13" s="41"/>
    </row>
    <row r="14" spans="1:12" s="183" customFormat="1" ht="16.5" customHeight="1" x14ac:dyDescent="0.25">
      <c r="B14" s="48" t="s">
        <v>6</v>
      </c>
      <c r="C14" s="49">
        <f t="shared" ref="C14:H14" si="0">SUM(C15+C18)</f>
        <v>1276667</v>
      </c>
      <c r="D14" s="49">
        <f t="shared" si="0"/>
        <v>769200</v>
      </c>
      <c r="E14" s="49">
        <f t="shared" si="0"/>
        <v>769200</v>
      </c>
      <c r="F14" s="49">
        <f t="shared" si="0"/>
        <v>769200</v>
      </c>
      <c r="G14" s="49">
        <f t="shared" si="0"/>
        <v>769200</v>
      </c>
      <c r="H14" s="65">
        <f t="shared" si="0"/>
        <v>3760000</v>
      </c>
      <c r="I14" s="50"/>
      <c r="J14" s="42"/>
      <c r="K14" s="75"/>
      <c r="L14" s="43"/>
    </row>
    <row r="15" spans="1:12" s="183" customFormat="1" ht="16.5" customHeight="1" x14ac:dyDescent="0.25">
      <c r="B15" s="45" t="s">
        <v>44</v>
      </c>
      <c r="C15" s="46">
        <f t="shared" ref="C15:H15" si="1">SUM(C16:C17)</f>
        <v>0</v>
      </c>
      <c r="D15" s="46">
        <f t="shared" si="1"/>
        <v>0</v>
      </c>
      <c r="E15" s="46">
        <f t="shared" si="1"/>
        <v>0</v>
      </c>
      <c r="F15" s="46">
        <f t="shared" si="1"/>
        <v>0</v>
      </c>
      <c r="G15" s="46">
        <f t="shared" si="1"/>
        <v>0</v>
      </c>
      <c r="H15" s="46">
        <f t="shared" si="1"/>
        <v>0</v>
      </c>
      <c r="I15" s="125"/>
      <c r="J15" s="42"/>
      <c r="K15" s="43"/>
      <c r="L15" s="43"/>
    </row>
    <row r="16" spans="1:12" s="183" customFormat="1" ht="16.5" customHeight="1" x14ac:dyDescent="0.25">
      <c r="B16" s="9" t="s">
        <v>283</v>
      </c>
      <c r="C16" s="15"/>
      <c r="D16" s="15"/>
      <c r="E16" s="15"/>
      <c r="F16" s="15"/>
      <c r="G16" s="15"/>
      <c r="H16" s="37"/>
      <c r="I16" s="125"/>
      <c r="J16" s="42"/>
      <c r="K16" s="43"/>
      <c r="L16" s="43"/>
    </row>
    <row r="17" spans="1:12" s="183" customFormat="1" ht="16.5" customHeight="1" x14ac:dyDescent="0.25">
      <c r="B17" s="9" t="s">
        <v>284</v>
      </c>
      <c r="C17" s="15"/>
      <c r="D17" s="15"/>
      <c r="E17" s="15"/>
      <c r="F17" s="15"/>
      <c r="G17" s="15"/>
      <c r="H17" s="37"/>
      <c r="I17" s="125"/>
      <c r="J17" s="42"/>
      <c r="K17" s="43"/>
      <c r="L17" s="43"/>
    </row>
    <row r="18" spans="1:12" s="183" customFormat="1" ht="16.5" customHeight="1" x14ac:dyDescent="0.25">
      <c r="B18" s="45" t="s">
        <v>45</v>
      </c>
      <c r="C18" s="46">
        <f t="shared" ref="C18:H18" si="2">SUM(C19:C23)</f>
        <v>1276667</v>
      </c>
      <c r="D18" s="46">
        <f t="shared" si="2"/>
        <v>769200</v>
      </c>
      <c r="E18" s="46">
        <f t="shared" si="2"/>
        <v>769200</v>
      </c>
      <c r="F18" s="46">
        <f t="shared" si="2"/>
        <v>769200</v>
      </c>
      <c r="G18" s="46">
        <f t="shared" si="2"/>
        <v>769200</v>
      </c>
      <c r="H18" s="46">
        <f t="shared" si="2"/>
        <v>3760000</v>
      </c>
      <c r="I18" s="125"/>
      <c r="J18" s="42"/>
      <c r="K18" s="43"/>
      <c r="L18" s="43"/>
    </row>
    <row r="19" spans="1:12" s="183" customFormat="1" ht="16.5" customHeight="1" x14ac:dyDescent="0.25">
      <c r="B19" s="17" t="s">
        <v>285</v>
      </c>
      <c r="C19" s="15">
        <v>666200</v>
      </c>
      <c r="D19" s="15">
        <v>666200</v>
      </c>
      <c r="E19" s="15">
        <v>666200</v>
      </c>
      <c r="F19" s="15">
        <v>666200</v>
      </c>
      <c r="G19" s="15">
        <v>666200</v>
      </c>
      <c r="H19" s="37">
        <f t="shared" ref="H19:H21" si="3">SUM(C19:G19)</f>
        <v>3331000</v>
      </c>
      <c r="I19" s="125" t="s">
        <v>129</v>
      </c>
      <c r="J19" s="42"/>
      <c r="K19" s="43"/>
      <c r="L19" s="43"/>
    </row>
    <row r="20" spans="1:12" s="183" customFormat="1" ht="16.5" customHeight="1" x14ac:dyDescent="0.25">
      <c r="B20" s="17" t="s">
        <v>286</v>
      </c>
      <c r="C20" s="15">
        <v>234000</v>
      </c>
      <c r="D20" s="15">
        <v>0</v>
      </c>
      <c r="E20" s="15">
        <v>0</v>
      </c>
      <c r="F20" s="15">
        <v>0</v>
      </c>
      <c r="G20" s="15">
        <v>0</v>
      </c>
      <c r="H20" s="37">
        <f t="shared" si="3"/>
        <v>234000</v>
      </c>
      <c r="I20" s="125" t="s">
        <v>287</v>
      </c>
      <c r="J20" s="42"/>
      <c r="K20" s="43"/>
      <c r="L20" s="43"/>
    </row>
    <row r="21" spans="1:12" s="183" customFormat="1" ht="16.5" customHeight="1" x14ac:dyDescent="0.25">
      <c r="B21" s="17" t="s">
        <v>47</v>
      </c>
      <c r="C21" s="15">
        <v>23000</v>
      </c>
      <c r="D21" s="15">
        <v>23000</v>
      </c>
      <c r="E21" s="15">
        <v>23000</v>
      </c>
      <c r="F21" s="15">
        <v>23000</v>
      </c>
      <c r="G21" s="15">
        <v>23000</v>
      </c>
      <c r="H21" s="37">
        <f t="shared" si="3"/>
        <v>115000</v>
      </c>
      <c r="I21" s="125" t="s">
        <v>129</v>
      </c>
      <c r="J21" s="42"/>
      <c r="K21" s="43"/>
      <c r="L21" s="43"/>
    </row>
    <row r="22" spans="1:12" s="183" customFormat="1" ht="16.5" customHeight="1" x14ac:dyDescent="0.25">
      <c r="B22" s="9" t="s">
        <v>47</v>
      </c>
      <c r="C22" s="15">
        <v>353467</v>
      </c>
      <c r="D22" s="15">
        <v>80000</v>
      </c>
      <c r="E22" s="15">
        <v>80000</v>
      </c>
      <c r="F22" s="15">
        <v>80000</v>
      </c>
      <c r="G22" s="15">
        <v>80000</v>
      </c>
      <c r="H22" s="15">
        <v>80000</v>
      </c>
      <c r="I22" s="125" t="s">
        <v>129</v>
      </c>
      <c r="J22" s="42"/>
      <c r="K22" s="43"/>
      <c r="L22" s="43"/>
    </row>
    <row r="23" spans="1:12" s="183" customFormat="1" ht="16.5" customHeight="1" thickBot="1" x14ac:dyDescent="0.3">
      <c r="B23" s="51" t="s">
        <v>1</v>
      </c>
      <c r="C23" s="52"/>
      <c r="D23" s="52"/>
      <c r="E23" s="52"/>
      <c r="F23" s="52"/>
      <c r="G23" s="52"/>
      <c r="H23" s="54"/>
      <c r="I23" s="126"/>
      <c r="J23" s="42"/>
      <c r="K23" s="43"/>
      <c r="L23" s="43"/>
    </row>
    <row r="24" spans="1:12" s="183" customFormat="1" ht="16.5" customHeight="1" x14ac:dyDescent="0.25">
      <c r="B24" s="58"/>
      <c r="C24" s="59"/>
      <c r="D24" s="59"/>
      <c r="E24" s="59"/>
      <c r="F24" s="59"/>
      <c r="G24" s="59"/>
      <c r="H24" s="59"/>
      <c r="I24" s="59"/>
      <c r="J24" s="42"/>
      <c r="K24" s="43"/>
      <c r="L24" s="43"/>
    </row>
    <row r="25" spans="1:12" s="183" customFormat="1" ht="16.5" customHeight="1" x14ac:dyDescent="0.25">
      <c r="B25" s="259" t="s">
        <v>59</v>
      </c>
      <c r="C25" s="260"/>
      <c r="D25" s="260"/>
      <c r="E25" s="260"/>
      <c r="F25" s="260"/>
      <c r="G25" s="260"/>
      <c r="H25" s="260"/>
      <c r="I25" s="260"/>
    </row>
    <row r="26" spans="1:12" s="183" customFormat="1" ht="16.5" customHeight="1" thickBot="1" x14ac:dyDescent="0.3"/>
    <row r="27" spans="1:12" s="183" customFormat="1" ht="66.75" customHeight="1" thickBot="1" x14ac:dyDescent="0.4">
      <c r="A27" s="79"/>
      <c r="B27" s="55" t="s">
        <v>38</v>
      </c>
      <c r="C27" s="18">
        <v>2022</v>
      </c>
      <c r="D27" s="38">
        <v>2023</v>
      </c>
      <c r="E27" s="38">
        <v>2024</v>
      </c>
      <c r="F27" s="38">
        <v>2025</v>
      </c>
      <c r="G27" s="18">
        <v>2026</v>
      </c>
      <c r="H27" s="44" t="s">
        <v>10</v>
      </c>
      <c r="I27" s="47" t="s">
        <v>36</v>
      </c>
      <c r="J27" s="40"/>
      <c r="K27" s="41"/>
      <c r="L27" s="41"/>
    </row>
    <row r="28" spans="1:12" s="183" customFormat="1" ht="16.5" customHeight="1" x14ac:dyDescent="0.25">
      <c r="B28" s="48" t="s">
        <v>6</v>
      </c>
      <c r="C28" s="49">
        <f t="shared" ref="C28:H28" si="4">SUM(C29+C33)</f>
        <v>3291591</v>
      </c>
      <c r="D28" s="49">
        <f t="shared" si="4"/>
        <v>2784124</v>
      </c>
      <c r="E28" s="49">
        <f t="shared" si="4"/>
        <v>2784124</v>
      </c>
      <c r="F28" s="49">
        <f t="shared" si="4"/>
        <v>2784124</v>
      </c>
      <c r="G28" s="49">
        <f t="shared" si="4"/>
        <v>2029300</v>
      </c>
      <c r="H28" s="65">
        <f t="shared" si="4"/>
        <v>13673263</v>
      </c>
      <c r="I28" s="50"/>
      <c r="J28" s="42"/>
      <c r="K28" s="43"/>
      <c r="L28" s="43"/>
    </row>
    <row r="29" spans="1:12" s="183" customFormat="1" ht="16.5" customHeight="1" x14ac:dyDescent="0.25">
      <c r="B29" s="45" t="s">
        <v>44</v>
      </c>
      <c r="C29" s="46">
        <f t="shared" ref="C29:H29" si="5">SUM(C30:C32)</f>
        <v>380000</v>
      </c>
      <c r="D29" s="46">
        <f t="shared" si="5"/>
        <v>0</v>
      </c>
      <c r="E29" s="46">
        <f t="shared" si="5"/>
        <v>0</v>
      </c>
      <c r="F29" s="46">
        <f t="shared" si="5"/>
        <v>0</v>
      </c>
      <c r="G29" s="46">
        <f t="shared" si="5"/>
        <v>0</v>
      </c>
      <c r="H29" s="46">
        <f t="shared" si="5"/>
        <v>380000</v>
      </c>
      <c r="I29" s="16"/>
      <c r="J29" s="42"/>
      <c r="L29" s="43"/>
    </row>
    <row r="30" spans="1:12" s="183" customFormat="1" ht="16.5" customHeight="1" x14ac:dyDescent="0.25">
      <c r="B30" s="63" t="s">
        <v>37</v>
      </c>
      <c r="C30" s="64">
        <f>D64</f>
        <v>380000</v>
      </c>
      <c r="D30" s="64">
        <f>G64</f>
        <v>0</v>
      </c>
      <c r="E30" s="64">
        <f>J64</f>
        <v>0</v>
      </c>
      <c r="F30" s="64">
        <f>M64</f>
        <v>0</v>
      </c>
      <c r="G30" s="46"/>
      <c r="H30" s="46">
        <f t="shared" ref="H30:H32" si="6">SUM(C30:G30)</f>
        <v>380000</v>
      </c>
      <c r="I30" s="16"/>
      <c r="J30" s="42"/>
      <c r="L30" s="43"/>
    </row>
    <row r="31" spans="1:12" s="183" customFormat="1" ht="16.5" customHeight="1" x14ac:dyDescent="0.25">
      <c r="B31" s="9" t="s">
        <v>283</v>
      </c>
      <c r="C31" s="15"/>
      <c r="D31" s="15"/>
      <c r="E31" s="15"/>
      <c r="F31" s="15"/>
      <c r="G31" s="15"/>
      <c r="H31" s="207">
        <f t="shared" si="6"/>
        <v>0</v>
      </c>
      <c r="I31" s="125"/>
      <c r="J31" s="42"/>
      <c r="L31" s="43"/>
    </row>
    <row r="32" spans="1:12" s="183" customFormat="1" ht="16.5" customHeight="1" x14ac:dyDescent="0.25">
      <c r="B32" s="9" t="s">
        <v>284</v>
      </c>
      <c r="C32" s="15"/>
      <c r="D32" s="15"/>
      <c r="E32" s="15"/>
      <c r="F32" s="15"/>
      <c r="G32" s="15"/>
      <c r="H32" s="15">
        <f t="shared" si="6"/>
        <v>0</v>
      </c>
      <c r="I32" s="125"/>
      <c r="J32" s="42"/>
      <c r="K32" s="43"/>
      <c r="L32" s="43"/>
    </row>
    <row r="33" spans="1:13" s="183" customFormat="1" ht="16.5" customHeight="1" x14ac:dyDescent="0.25">
      <c r="B33" s="45" t="s">
        <v>45</v>
      </c>
      <c r="C33" s="46">
        <f t="shared" ref="C33:H33" si="7">SUM(C34:C40)</f>
        <v>2911591</v>
      </c>
      <c r="D33" s="46">
        <f t="shared" si="7"/>
        <v>2784124</v>
      </c>
      <c r="E33" s="46">
        <f t="shared" si="7"/>
        <v>2784124</v>
      </c>
      <c r="F33" s="46">
        <f t="shared" si="7"/>
        <v>2784124</v>
      </c>
      <c r="G33" s="46">
        <f t="shared" si="7"/>
        <v>2029300</v>
      </c>
      <c r="H33" s="46">
        <f t="shared" si="7"/>
        <v>13293263</v>
      </c>
      <c r="I33" s="16"/>
      <c r="J33" s="42"/>
      <c r="K33" s="43"/>
      <c r="L33" s="43"/>
    </row>
    <row r="34" spans="1:13" s="183" customFormat="1" ht="16.5" customHeight="1" x14ac:dyDescent="0.25">
      <c r="B34" s="63" t="s">
        <v>55</v>
      </c>
      <c r="C34" s="64">
        <f>D67</f>
        <v>548924</v>
      </c>
      <c r="D34" s="64">
        <f>G67</f>
        <v>1181824</v>
      </c>
      <c r="E34" s="64">
        <f>J67</f>
        <v>1177500</v>
      </c>
      <c r="F34" s="64">
        <f>M67</f>
        <v>1260100</v>
      </c>
      <c r="G34" s="46">
        <f>F34</f>
        <v>1260100</v>
      </c>
      <c r="H34" s="15">
        <f t="shared" ref="H34:H40" si="8">SUM(C34:G34)</f>
        <v>5428448</v>
      </c>
      <c r="I34" s="125" t="s">
        <v>129</v>
      </c>
      <c r="J34" s="42"/>
      <c r="K34" s="43"/>
      <c r="L34" s="43"/>
    </row>
    <row r="35" spans="1:13" s="183" customFormat="1" ht="16.5" customHeight="1" x14ac:dyDescent="0.25">
      <c r="B35" s="63" t="s">
        <v>56</v>
      </c>
      <c r="C35" s="64">
        <f>D91</f>
        <v>1086000</v>
      </c>
      <c r="D35" s="64">
        <f>G91</f>
        <v>833100</v>
      </c>
      <c r="E35" s="64">
        <f>J91</f>
        <v>837424</v>
      </c>
      <c r="F35" s="64">
        <f>M91</f>
        <v>754824</v>
      </c>
      <c r="G35" s="46"/>
      <c r="H35" s="15">
        <f>SUM(C35:G35)</f>
        <v>3511348</v>
      </c>
      <c r="I35" s="125" t="s">
        <v>129</v>
      </c>
      <c r="J35" s="42"/>
      <c r="K35" s="43"/>
      <c r="L35" s="43"/>
    </row>
    <row r="36" spans="1:13" s="183" customFormat="1" ht="16.5" customHeight="1" x14ac:dyDescent="0.25">
      <c r="B36" s="17" t="s">
        <v>285</v>
      </c>
      <c r="C36" s="15">
        <f t="shared" ref="C36:G37" si="9">C19</f>
        <v>666200</v>
      </c>
      <c r="D36" s="15">
        <f t="shared" si="9"/>
        <v>666200</v>
      </c>
      <c r="E36" s="15">
        <f t="shared" si="9"/>
        <v>666200</v>
      </c>
      <c r="F36" s="15">
        <f t="shared" si="9"/>
        <v>666200</v>
      </c>
      <c r="G36" s="15">
        <f t="shared" si="9"/>
        <v>666200</v>
      </c>
      <c r="H36" s="15">
        <f t="shared" si="8"/>
        <v>3331000</v>
      </c>
      <c r="I36" s="125" t="s">
        <v>129</v>
      </c>
      <c r="J36" s="42"/>
      <c r="K36" s="43"/>
      <c r="L36" s="43"/>
    </row>
    <row r="37" spans="1:13" s="183" customFormat="1" ht="16.5" customHeight="1" x14ac:dyDescent="0.25">
      <c r="B37" s="17" t="s">
        <v>286</v>
      </c>
      <c r="C37" s="15">
        <f t="shared" si="9"/>
        <v>234000</v>
      </c>
      <c r="D37" s="15">
        <f t="shared" si="9"/>
        <v>0</v>
      </c>
      <c r="E37" s="15">
        <f t="shared" si="9"/>
        <v>0</v>
      </c>
      <c r="F37" s="15">
        <f t="shared" si="9"/>
        <v>0</v>
      </c>
      <c r="G37" s="15">
        <f t="shared" si="9"/>
        <v>0</v>
      </c>
      <c r="H37" s="15">
        <f t="shared" si="8"/>
        <v>234000</v>
      </c>
      <c r="I37" s="125" t="s">
        <v>287</v>
      </c>
      <c r="J37" s="42"/>
      <c r="K37" s="43"/>
      <c r="L37" s="43"/>
      <c r="M37" s="36"/>
    </row>
    <row r="38" spans="1:13" s="183" customFormat="1" ht="16.5" customHeight="1" x14ac:dyDescent="0.25">
      <c r="B38" s="17" t="s">
        <v>47</v>
      </c>
      <c r="C38" s="15">
        <v>23000</v>
      </c>
      <c r="D38" s="15">
        <v>23000</v>
      </c>
      <c r="E38" s="15">
        <v>23000</v>
      </c>
      <c r="F38" s="15">
        <v>23000</v>
      </c>
      <c r="G38" s="15">
        <v>23000</v>
      </c>
      <c r="H38" s="15">
        <f t="shared" si="8"/>
        <v>115000</v>
      </c>
      <c r="I38" s="125" t="s">
        <v>129</v>
      </c>
      <c r="J38" s="42"/>
      <c r="K38" s="43"/>
      <c r="L38" s="43"/>
      <c r="M38" s="36"/>
    </row>
    <row r="39" spans="1:13" s="183" customFormat="1" ht="16.5" customHeight="1" x14ac:dyDescent="0.25">
      <c r="B39" s="9" t="s">
        <v>47</v>
      </c>
      <c r="C39" s="15">
        <f t="shared" ref="C39:G39" si="10">C22</f>
        <v>353467</v>
      </c>
      <c r="D39" s="15">
        <f t="shared" si="10"/>
        <v>80000</v>
      </c>
      <c r="E39" s="15">
        <f t="shared" si="10"/>
        <v>80000</v>
      </c>
      <c r="F39" s="15">
        <f t="shared" si="10"/>
        <v>80000</v>
      </c>
      <c r="G39" s="15">
        <f t="shared" si="10"/>
        <v>80000</v>
      </c>
      <c r="H39" s="15">
        <f t="shared" si="8"/>
        <v>673467</v>
      </c>
      <c r="I39" s="125" t="s">
        <v>129</v>
      </c>
      <c r="J39" s="42"/>
      <c r="K39" s="43"/>
      <c r="L39" s="43"/>
    </row>
    <row r="40" spans="1:13" s="183" customFormat="1" ht="16.5" customHeight="1" thickBot="1" x14ac:dyDescent="0.3">
      <c r="B40" s="51" t="s">
        <v>41</v>
      </c>
      <c r="C40" s="52"/>
      <c r="D40" s="52"/>
      <c r="E40" s="52"/>
      <c r="F40" s="52"/>
      <c r="G40" s="52"/>
      <c r="H40" s="52">
        <f t="shared" si="8"/>
        <v>0</v>
      </c>
      <c r="I40" s="53"/>
      <c r="J40" s="42"/>
      <c r="K40" s="43"/>
      <c r="L40" s="43"/>
    </row>
    <row r="41" spans="1:13" ht="16.5" customHeight="1" x14ac:dyDescent="0.25">
      <c r="C41" s="128"/>
      <c r="D41" s="128"/>
      <c r="J41" s="5"/>
    </row>
    <row r="42" spans="1:13" s="183" customFormat="1" ht="30" x14ac:dyDescent="0.35">
      <c r="A42" s="80"/>
      <c r="B42" s="69" t="s">
        <v>11</v>
      </c>
      <c r="C42" s="70" t="s">
        <v>15</v>
      </c>
      <c r="D42" s="68" t="s">
        <v>16</v>
      </c>
      <c r="E42" s="208" t="s">
        <v>60</v>
      </c>
      <c r="F42" s="209"/>
      <c r="G42" s="210" t="s">
        <v>19</v>
      </c>
      <c r="H42" s="211"/>
      <c r="I42" s="212"/>
    </row>
    <row r="43" spans="1:13" s="183" customFormat="1" x14ac:dyDescent="0.25">
      <c r="B43" s="8" t="s">
        <v>17</v>
      </c>
      <c r="C43" s="213">
        <v>0.95</v>
      </c>
      <c r="D43" s="213">
        <v>0.95</v>
      </c>
      <c r="E43" s="214">
        <v>0.95</v>
      </c>
      <c r="F43" s="215" t="s">
        <v>288</v>
      </c>
      <c r="G43" s="216"/>
      <c r="H43" s="216"/>
      <c r="I43" s="212"/>
    </row>
    <row r="44" spans="1:13" s="183" customFormat="1" x14ac:dyDescent="0.25">
      <c r="B44" s="8" t="s">
        <v>18</v>
      </c>
      <c r="C44" s="217">
        <v>0</v>
      </c>
      <c r="D44" s="217">
        <v>0</v>
      </c>
      <c r="E44" s="218">
        <v>0</v>
      </c>
      <c r="F44" s="218" t="s">
        <v>289</v>
      </c>
      <c r="G44" s="219"/>
      <c r="H44" s="219"/>
      <c r="I44" s="20"/>
    </row>
    <row r="45" spans="1:13" s="183" customFormat="1" x14ac:dyDescent="0.25">
      <c r="B45" s="8" t="s">
        <v>290</v>
      </c>
      <c r="C45" s="217">
        <v>250</v>
      </c>
      <c r="D45" s="217">
        <v>350</v>
      </c>
      <c r="E45" s="218">
        <v>500</v>
      </c>
      <c r="F45" s="220" t="s">
        <v>291</v>
      </c>
      <c r="G45" s="221"/>
      <c r="H45" s="221"/>
      <c r="I45" s="222"/>
    </row>
    <row r="46" spans="1:13" s="183" customFormat="1" x14ac:dyDescent="0.25">
      <c r="B46" s="8" t="s">
        <v>1</v>
      </c>
      <c r="C46" s="223"/>
      <c r="D46" s="223"/>
      <c r="E46" s="131"/>
      <c r="F46" s="224"/>
      <c r="G46" s="221"/>
      <c r="H46" s="221"/>
      <c r="I46" s="222"/>
    </row>
    <row r="47" spans="1:13" s="183" customFormat="1" x14ac:dyDescent="0.25"/>
    <row r="48" spans="1:13" s="183" customFormat="1" ht="28.9" customHeight="1" x14ac:dyDescent="0.25">
      <c r="B48" s="261" t="s">
        <v>57</v>
      </c>
      <c r="C48" s="262"/>
      <c r="D48" s="262"/>
      <c r="E48" s="262"/>
      <c r="F48" s="262"/>
      <c r="G48" s="68" t="s">
        <v>15</v>
      </c>
      <c r="H48" s="68" t="s">
        <v>16</v>
      </c>
      <c r="I48" s="68" t="s">
        <v>60</v>
      </c>
      <c r="J48" s="225" t="s">
        <v>19</v>
      </c>
      <c r="K48" s="211"/>
      <c r="L48" s="211"/>
      <c r="M48" s="212"/>
    </row>
    <row r="49" spans="1:14" s="183" customFormat="1" x14ac:dyDescent="0.25">
      <c r="B49" s="11" t="s">
        <v>26</v>
      </c>
      <c r="C49" s="19"/>
      <c r="D49" s="19"/>
      <c r="E49" s="19"/>
      <c r="F49" s="20"/>
      <c r="G49" s="10" t="s">
        <v>292</v>
      </c>
      <c r="H49" s="10" t="s">
        <v>292</v>
      </c>
      <c r="I49" s="10" t="s">
        <v>292</v>
      </c>
      <c r="J49" s="209" t="s">
        <v>293</v>
      </c>
      <c r="K49" s="211"/>
      <c r="L49" s="211"/>
      <c r="M49" s="212"/>
    </row>
    <row r="50" spans="1:14" s="183" customFormat="1" x14ac:dyDescent="0.25">
      <c r="B50" s="11" t="s">
        <v>20</v>
      </c>
      <c r="C50" s="19"/>
      <c r="D50" s="19"/>
      <c r="E50" s="19"/>
      <c r="F50" s="20"/>
      <c r="G50" s="10" t="s">
        <v>292</v>
      </c>
      <c r="H50" s="10" t="s">
        <v>292</v>
      </c>
      <c r="I50" s="10" t="s">
        <v>292</v>
      </c>
      <c r="J50" s="209" t="s">
        <v>294</v>
      </c>
      <c r="K50" s="211"/>
      <c r="L50" s="211"/>
      <c r="M50" s="212"/>
    </row>
    <row r="51" spans="1:14" s="183" customFormat="1" x14ac:dyDescent="0.25">
      <c r="B51" s="11" t="s">
        <v>27</v>
      </c>
      <c r="C51" s="19"/>
      <c r="D51" s="19"/>
      <c r="E51" s="19"/>
      <c r="F51" s="20"/>
      <c r="G51" s="10" t="s">
        <v>295</v>
      </c>
      <c r="H51" s="10" t="s">
        <v>295</v>
      </c>
      <c r="I51" s="10" t="s">
        <v>295</v>
      </c>
      <c r="J51" s="209" t="s">
        <v>296</v>
      </c>
      <c r="K51" s="211"/>
      <c r="L51" s="211"/>
      <c r="M51" s="212"/>
    </row>
    <row r="52" spans="1:14" s="183" customFormat="1" x14ac:dyDescent="0.25">
      <c r="B52" s="11" t="s">
        <v>21</v>
      </c>
      <c r="C52" s="19"/>
      <c r="D52" s="19"/>
      <c r="E52" s="19"/>
      <c r="F52" s="20"/>
      <c r="G52" s="10" t="s">
        <v>295</v>
      </c>
      <c r="H52" s="10" t="s">
        <v>295</v>
      </c>
      <c r="I52" s="10" t="s">
        <v>295</v>
      </c>
      <c r="J52" s="209" t="s">
        <v>296</v>
      </c>
      <c r="K52" s="211"/>
      <c r="L52" s="211"/>
      <c r="M52" s="212"/>
    </row>
    <row r="53" spans="1:14" s="183" customFormat="1" x14ac:dyDescent="0.25">
      <c r="B53" s="11" t="s">
        <v>22</v>
      </c>
      <c r="C53" s="19"/>
      <c r="D53" s="19"/>
      <c r="E53" s="19"/>
      <c r="F53" s="20"/>
      <c r="G53" s="226" t="s">
        <v>292</v>
      </c>
      <c r="H53" s="10" t="s">
        <v>292</v>
      </c>
      <c r="I53" s="10" t="s">
        <v>292</v>
      </c>
      <c r="J53" s="209" t="s">
        <v>297</v>
      </c>
      <c r="K53" s="211"/>
      <c r="L53" s="211"/>
      <c r="M53" s="212"/>
    </row>
    <row r="54" spans="1:14" s="183" customFormat="1" x14ac:dyDescent="0.25">
      <c r="B54" s="11" t="s">
        <v>23</v>
      </c>
      <c r="C54" s="21"/>
      <c r="D54" s="21"/>
      <c r="E54" s="21"/>
      <c r="F54" s="22"/>
      <c r="G54" s="10" t="s">
        <v>292</v>
      </c>
      <c r="H54" s="10" t="s">
        <v>292</v>
      </c>
      <c r="I54" s="10" t="s">
        <v>292</v>
      </c>
      <c r="J54" s="209" t="s">
        <v>293</v>
      </c>
      <c r="K54" s="211"/>
      <c r="L54" s="211"/>
      <c r="M54" s="212"/>
    </row>
    <row r="55" spans="1:14" s="183" customFormat="1" x14ac:dyDescent="0.25">
      <c r="B55" s="11" t="s">
        <v>24</v>
      </c>
      <c r="C55" s="19"/>
      <c r="D55" s="19"/>
      <c r="E55" s="19"/>
      <c r="F55" s="20"/>
      <c r="G55" s="8">
        <v>200</v>
      </c>
      <c r="H55" s="8">
        <v>300</v>
      </c>
      <c r="I55" s="10" t="s">
        <v>298</v>
      </c>
      <c r="J55" s="209" t="s">
        <v>299</v>
      </c>
      <c r="K55" s="211"/>
      <c r="L55" s="211"/>
      <c r="M55" s="212"/>
    </row>
    <row r="56" spans="1:14" s="183" customFormat="1" x14ac:dyDescent="0.25">
      <c r="B56" s="11" t="s">
        <v>25</v>
      </c>
      <c r="C56" s="19"/>
      <c r="D56" s="19"/>
      <c r="E56" s="19"/>
      <c r="F56" s="20"/>
      <c r="G56" s="10" t="s">
        <v>292</v>
      </c>
      <c r="H56" s="10" t="s">
        <v>292</v>
      </c>
      <c r="I56" s="10" t="s">
        <v>292</v>
      </c>
      <c r="J56" s="209" t="s">
        <v>300</v>
      </c>
      <c r="K56" s="211"/>
      <c r="L56" s="211"/>
      <c r="M56" s="212"/>
    </row>
    <row r="57" spans="1:14" s="183" customFormat="1" x14ac:dyDescent="0.25">
      <c r="B57" s="227" t="s">
        <v>301</v>
      </c>
      <c r="C57" s="19"/>
      <c r="D57" s="19"/>
      <c r="E57" s="19"/>
      <c r="F57" s="20"/>
      <c r="G57" s="10" t="s">
        <v>292</v>
      </c>
      <c r="H57" s="10" t="s">
        <v>292</v>
      </c>
      <c r="I57" s="10" t="s">
        <v>292</v>
      </c>
      <c r="J57" s="25" t="s">
        <v>302</v>
      </c>
      <c r="K57" s="19"/>
      <c r="L57" s="19"/>
      <c r="M57" s="20"/>
    </row>
    <row r="58" spans="1:14" s="183" customFormat="1" x14ac:dyDescent="0.25"/>
    <row r="59" spans="1:14" s="7" customFormat="1" ht="21" x14ac:dyDescent="0.25">
      <c r="A59" s="23" t="s">
        <v>14</v>
      </c>
    </row>
    <row r="60" spans="1:14" s="183" customFormat="1" ht="19.5" thickBot="1" x14ac:dyDescent="0.35">
      <c r="A60" s="6"/>
      <c r="D60" s="228"/>
      <c r="E60" s="228"/>
      <c r="G60" s="228"/>
      <c r="J60" s="228"/>
      <c r="M60" s="228"/>
    </row>
    <row r="61" spans="1:14" ht="14.25" customHeight="1" x14ac:dyDescent="0.25">
      <c r="A61" s="23"/>
      <c r="C61" s="263">
        <v>2022</v>
      </c>
      <c r="D61" s="264"/>
      <c r="E61" s="265"/>
      <c r="F61" s="263">
        <v>2023</v>
      </c>
      <c r="G61" s="264"/>
      <c r="H61" s="265"/>
      <c r="I61" s="263">
        <v>2024</v>
      </c>
      <c r="J61" s="264"/>
      <c r="K61" s="265"/>
      <c r="L61" s="263">
        <v>2025</v>
      </c>
      <c r="M61" s="264"/>
      <c r="N61" s="265"/>
    </row>
    <row r="62" spans="1:14" ht="21" x14ac:dyDescent="0.35">
      <c r="A62" s="79"/>
      <c r="B62" s="24" t="s">
        <v>28</v>
      </c>
      <c r="C62" s="71" t="s">
        <v>12</v>
      </c>
      <c r="D62" s="14" t="s">
        <v>31</v>
      </c>
      <c r="E62" s="72" t="s">
        <v>30</v>
      </c>
      <c r="F62" s="71" t="s">
        <v>12</v>
      </c>
      <c r="G62" s="14" t="s">
        <v>31</v>
      </c>
      <c r="H62" s="72" t="s">
        <v>30</v>
      </c>
      <c r="I62" s="71" t="s">
        <v>12</v>
      </c>
      <c r="J62" s="14" t="s">
        <v>31</v>
      </c>
      <c r="K62" s="72" t="s">
        <v>30</v>
      </c>
      <c r="L62" s="71" t="s">
        <v>12</v>
      </c>
      <c r="M62" s="14" t="s">
        <v>31</v>
      </c>
      <c r="N62" s="72" t="s">
        <v>30</v>
      </c>
    </row>
    <row r="63" spans="1:14" ht="21" x14ac:dyDescent="0.35">
      <c r="A63" s="79"/>
      <c r="B63" s="24" t="s">
        <v>6</v>
      </c>
      <c r="C63" s="28" t="s">
        <v>13</v>
      </c>
      <c r="D63" s="61">
        <f>SUM(D64+D67+D91)</f>
        <v>2014924</v>
      </c>
      <c r="E63" s="29" t="s">
        <v>13</v>
      </c>
      <c r="F63" s="28" t="s">
        <v>13</v>
      </c>
      <c r="G63" s="61">
        <f>SUM(G64+G67+G91)</f>
        <v>2014924</v>
      </c>
      <c r="H63" s="29" t="s">
        <v>13</v>
      </c>
      <c r="I63" s="28" t="s">
        <v>13</v>
      </c>
      <c r="J63" s="61">
        <f>SUM(J64+J67+J91)</f>
        <v>2014924</v>
      </c>
      <c r="K63" s="29" t="s">
        <v>13</v>
      </c>
      <c r="L63" s="28" t="s">
        <v>13</v>
      </c>
      <c r="M63" s="61">
        <f>SUM(M64+M67+M91)</f>
        <v>2014924</v>
      </c>
      <c r="N63" s="29" t="s">
        <v>13</v>
      </c>
    </row>
    <row r="64" spans="1:14" s="60" customFormat="1" x14ac:dyDescent="0.25">
      <c r="B64" s="24" t="s">
        <v>29</v>
      </c>
      <c r="C64" s="26"/>
      <c r="D64" s="34">
        <f>SUM(D65:D66)</f>
        <v>380000</v>
      </c>
      <c r="E64" s="27"/>
      <c r="F64" s="26"/>
      <c r="G64" s="34">
        <f>SUM(G65:G66)</f>
        <v>0</v>
      </c>
      <c r="H64" s="27"/>
      <c r="I64" s="26"/>
      <c r="J64" s="34">
        <f>SUM(J65:J66)</f>
        <v>0</v>
      </c>
      <c r="K64" s="27"/>
      <c r="L64" s="26"/>
      <c r="M64" s="34">
        <f>SUM(M65:M66)</f>
        <v>0</v>
      </c>
      <c r="N64" s="27"/>
    </row>
    <row r="65" spans="2:14" x14ac:dyDescent="0.25">
      <c r="B65" s="25"/>
      <c r="C65" s="30" t="s">
        <v>115</v>
      </c>
      <c r="D65" s="2">
        <v>380000</v>
      </c>
      <c r="E65" s="31" t="s">
        <v>340</v>
      </c>
      <c r="F65" s="30" t="s">
        <v>48</v>
      </c>
      <c r="G65" s="2"/>
      <c r="H65" s="31"/>
      <c r="I65" s="30" t="s">
        <v>48</v>
      </c>
      <c r="J65" s="2"/>
      <c r="K65" s="31"/>
      <c r="L65" s="30" t="s">
        <v>48</v>
      </c>
      <c r="M65" s="2"/>
      <c r="N65" s="31"/>
    </row>
    <row r="66" spans="2:14" x14ac:dyDescent="0.25">
      <c r="B66" s="25"/>
      <c r="C66" s="30"/>
      <c r="D66" s="2"/>
      <c r="E66" s="31"/>
      <c r="F66" s="30" t="s">
        <v>1</v>
      </c>
      <c r="G66" s="2"/>
      <c r="H66" s="31"/>
      <c r="I66" s="30" t="s">
        <v>1</v>
      </c>
      <c r="J66" s="2"/>
      <c r="K66" s="31"/>
      <c r="L66" s="30" t="s">
        <v>1</v>
      </c>
      <c r="M66" s="2"/>
      <c r="N66" s="31"/>
    </row>
    <row r="67" spans="2:14" s="60" customFormat="1" x14ac:dyDescent="0.25">
      <c r="B67" s="24" t="s">
        <v>43</v>
      </c>
      <c r="C67" s="26"/>
      <c r="D67" s="34">
        <f>SUM(D68:D90)</f>
        <v>548924</v>
      </c>
      <c r="E67" s="31" t="s">
        <v>303</v>
      </c>
      <c r="F67" s="26"/>
      <c r="G67" s="34">
        <f>SUM(G68:G90)</f>
        <v>1181824</v>
      </c>
      <c r="H67" s="27"/>
      <c r="I67" s="26"/>
      <c r="J67" s="34">
        <f>SUM(J68:J90)</f>
        <v>1177500</v>
      </c>
      <c r="K67" s="27"/>
      <c r="L67" s="26"/>
      <c r="M67" s="34">
        <f>SUM(M68:M90)</f>
        <v>1260100</v>
      </c>
      <c r="N67" s="27"/>
    </row>
    <row r="68" spans="2:14" x14ac:dyDescent="0.25">
      <c r="B68" s="25"/>
      <c r="C68" s="30" t="s">
        <v>64</v>
      </c>
      <c r="D68" s="2">
        <f>70000/2</f>
        <v>35000</v>
      </c>
      <c r="E68" s="31" t="s">
        <v>171</v>
      </c>
      <c r="F68" s="30" t="s">
        <v>64</v>
      </c>
      <c r="G68" s="2">
        <v>78000</v>
      </c>
      <c r="H68" s="31" t="s">
        <v>171</v>
      </c>
      <c r="I68" s="30" t="s">
        <v>64</v>
      </c>
      <c r="J68" s="2">
        <f t="shared" ref="J68:J88" si="11">ROUND(G68*1.07/100,0)*100</f>
        <v>83500</v>
      </c>
      <c r="K68" s="31" t="s">
        <v>171</v>
      </c>
      <c r="L68" s="30" t="s">
        <v>64</v>
      </c>
      <c r="M68" s="2">
        <f t="shared" ref="M68:M88" si="12">ROUND(J68*1.07/100,0)*100</f>
        <v>89300</v>
      </c>
      <c r="N68" s="31" t="s">
        <v>171</v>
      </c>
    </row>
    <row r="69" spans="2:14" x14ac:dyDescent="0.25">
      <c r="B69" s="25"/>
      <c r="C69" s="30" t="s">
        <v>64</v>
      </c>
      <c r="D69" s="2">
        <f>52000/2</f>
        <v>26000</v>
      </c>
      <c r="E69" s="31" t="s">
        <v>336</v>
      </c>
      <c r="F69" s="30" t="s">
        <v>64</v>
      </c>
      <c r="G69" s="2">
        <v>55600</v>
      </c>
      <c r="H69" s="31" t="s">
        <v>336</v>
      </c>
      <c r="I69" s="30" t="s">
        <v>64</v>
      </c>
      <c r="J69" s="2">
        <f t="shared" si="11"/>
        <v>59500</v>
      </c>
      <c r="K69" s="31" t="s">
        <v>336</v>
      </c>
      <c r="L69" s="30" t="s">
        <v>64</v>
      </c>
      <c r="M69" s="2">
        <f t="shared" si="12"/>
        <v>63700</v>
      </c>
      <c r="N69" s="31" t="s">
        <v>336</v>
      </c>
    </row>
    <row r="70" spans="2:14" x14ac:dyDescent="0.25">
      <c r="B70" s="25"/>
      <c r="C70" s="30" t="s">
        <v>64</v>
      </c>
      <c r="D70" s="2">
        <f>56000/2</f>
        <v>28000</v>
      </c>
      <c r="E70" s="31" t="s">
        <v>304</v>
      </c>
      <c r="F70" s="30" t="s">
        <v>64</v>
      </c>
      <c r="G70" s="2">
        <v>59900</v>
      </c>
      <c r="H70" s="31" t="s">
        <v>304</v>
      </c>
      <c r="I70" s="30" t="s">
        <v>64</v>
      </c>
      <c r="J70" s="2">
        <f t="shared" si="11"/>
        <v>64100</v>
      </c>
      <c r="K70" s="31" t="s">
        <v>304</v>
      </c>
      <c r="L70" s="30" t="s">
        <v>64</v>
      </c>
      <c r="M70" s="2">
        <f t="shared" si="12"/>
        <v>68600</v>
      </c>
      <c r="N70" s="31" t="s">
        <v>304</v>
      </c>
    </row>
    <row r="71" spans="2:14" x14ac:dyDescent="0.25">
      <c r="B71" s="25"/>
      <c r="C71" s="30" t="s">
        <v>64</v>
      </c>
      <c r="D71" s="2">
        <f>47000/2</f>
        <v>23500</v>
      </c>
      <c r="E71" s="31" t="s">
        <v>172</v>
      </c>
      <c r="F71" s="30" t="s">
        <v>64</v>
      </c>
      <c r="G71" s="2">
        <v>50300</v>
      </c>
      <c r="H71" s="31" t="s">
        <v>172</v>
      </c>
      <c r="I71" s="30" t="s">
        <v>64</v>
      </c>
      <c r="J71" s="2">
        <f t="shared" si="11"/>
        <v>53800</v>
      </c>
      <c r="K71" s="31" t="s">
        <v>172</v>
      </c>
      <c r="L71" s="30" t="s">
        <v>64</v>
      </c>
      <c r="M71" s="2">
        <f t="shared" si="12"/>
        <v>57600</v>
      </c>
      <c r="N71" s="31" t="s">
        <v>172</v>
      </c>
    </row>
    <row r="72" spans="2:14" x14ac:dyDescent="0.25">
      <c r="B72" s="25"/>
      <c r="C72" s="30" t="s">
        <v>64</v>
      </c>
      <c r="D72" s="2">
        <f>56000/2</f>
        <v>28000</v>
      </c>
      <c r="E72" s="31" t="s">
        <v>172</v>
      </c>
      <c r="F72" s="30" t="s">
        <v>64</v>
      </c>
      <c r="G72" s="2">
        <v>56000</v>
      </c>
      <c r="H72" s="31" t="s">
        <v>172</v>
      </c>
      <c r="I72" s="30" t="s">
        <v>64</v>
      </c>
      <c r="J72" s="2">
        <f t="shared" si="11"/>
        <v>59900</v>
      </c>
      <c r="K72" s="31" t="s">
        <v>172</v>
      </c>
      <c r="L72" s="30" t="s">
        <v>64</v>
      </c>
      <c r="M72" s="2">
        <f t="shared" si="12"/>
        <v>64100</v>
      </c>
      <c r="N72" s="31" t="s">
        <v>172</v>
      </c>
    </row>
    <row r="73" spans="2:14" x14ac:dyDescent="0.25">
      <c r="B73" s="25"/>
      <c r="C73" s="30" t="s">
        <v>64</v>
      </c>
      <c r="D73" s="2">
        <f>56000/2</f>
        <v>28000</v>
      </c>
      <c r="E73" s="31" t="s">
        <v>172</v>
      </c>
      <c r="F73" s="30" t="s">
        <v>64</v>
      </c>
      <c r="G73" s="2">
        <v>59900</v>
      </c>
      <c r="H73" s="31" t="s">
        <v>172</v>
      </c>
      <c r="I73" s="30" t="s">
        <v>64</v>
      </c>
      <c r="J73" s="2">
        <f t="shared" si="11"/>
        <v>64100</v>
      </c>
      <c r="K73" s="31" t="s">
        <v>172</v>
      </c>
      <c r="L73" s="30" t="s">
        <v>64</v>
      </c>
      <c r="M73" s="2">
        <f t="shared" si="12"/>
        <v>68600</v>
      </c>
      <c r="N73" s="31" t="s">
        <v>172</v>
      </c>
    </row>
    <row r="74" spans="2:14" x14ac:dyDescent="0.25">
      <c r="B74" s="25"/>
      <c r="C74" s="30" t="s">
        <v>64</v>
      </c>
      <c r="D74" s="2">
        <f>47000/2</f>
        <v>23500</v>
      </c>
      <c r="E74" s="31" t="s">
        <v>211</v>
      </c>
      <c r="F74" s="30" t="s">
        <v>64</v>
      </c>
      <c r="G74" s="2">
        <v>50300</v>
      </c>
      <c r="H74" s="31" t="s">
        <v>211</v>
      </c>
      <c r="I74" s="30" t="s">
        <v>64</v>
      </c>
      <c r="J74" s="2">
        <f t="shared" si="11"/>
        <v>53800</v>
      </c>
      <c r="K74" s="31" t="s">
        <v>211</v>
      </c>
      <c r="L74" s="30" t="s">
        <v>64</v>
      </c>
      <c r="M74" s="2">
        <f t="shared" si="12"/>
        <v>57600</v>
      </c>
      <c r="N74" s="31" t="s">
        <v>211</v>
      </c>
    </row>
    <row r="75" spans="2:14" x14ac:dyDescent="0.25">
      <c r="B75" s="25"/>
      <c r="C75" s="30" t="s">
        <v>64</v>
      </c>
      <c r="D75" s="2">
        <f>32000/2</f>
        <v>16000</v>
      </c>
      <c r="E75" s="31" t="s">
        <v>212</v>
      </c>
      <c r="F75" s="30" t="s">
        <v>64</v>
      </c>
      <c r="G75" s="2">
        <v>34200</v>
      </c>
      <c r="H75" s="31" t="s">
        <v>212</v>
      </c>
      <c r="I75" s="30" t="s">
        <v>64</v>
      </c>
      <c r="J75" s="2">
        <f t="shared" si="11"/>
        <v>36600</v>
      </c>
      <c r="K75" s="31" t="s">
        <v>212</v>
      </c>
      <c r="L75" s="30" t="s">
        <v>64</v>
      </c>
      <c r="M75" s="2">
        <f t="shared" si="12"/>
        <v>39200</v>
      </c>
      <c r="N75" s="31" t="s">
        <v>212</v>
      </c>
    </row>
    <row r="76" spans="2:14" x14ac:dyDescent="0.25">
      <c r="B76" s="25"/>
      <c r="C76" s="30" t="s">
        <v>64</v>
      </c>
      <c r="D76" s="2">
        <f>32000/2</f>
        <v>16000</v>
      </c>
      <c r="E76" s="31" t="s">
        <v>212</v>
      </c>
      <c r="F76" s="30" t="s">
        <v>64</v>
      </c>
      <c r="G76" s="2">
        <v>34200</v>
      </c>
      <c r="H76" s="31" t="s">
        <v>212</v>
      </c>
      <c r="I76" s="30" t="s">
        <v>64</v>
      </c>
      <c r="J76" s="2">
        <f t="shared" si="11"/>
        <v>36600</v>
      </c>
      <c r="K76" s="31" t="s">
        <v>212</v>
      </c>
      <c r="L76" s="30" t="s">
        <v>64</v>
      </c>
      <c r="M76" s="2">
        <f t="shared" si="12"/>
        <v>39200</v>
      </c>
      <c r="N76" s="31" t="s">
        <v>212</v>
      </c>
    </row>
    <row r="77" spans="2:14" x14ac:dyDescent="0.25">
      <c r="B77" s="25"/>
      <c r="C77" s="30" t="s">
        <v>64</v>
      </c>
      <c r="D77" s="2">
        <f>32000/2</f>
        <v>16000</v>
      </c>
      <c r="E77" s="31" t="s">
        <v>212</v>
      </c>
      <c r="F77" s="30" t="s">
        <v>64</v>
      </c>
      <c r="G77" s="2">
        <v>34200</v>
      </c>
      <c r="H77" s="31" t="s">
        <v>212</v>
      </c>
      <c r="I77" s="30" t="s">
        <v>64</v>
      </c>
      <c r="J77" s="2">
        <f t="shared" si="11"/>
        <v>36600</v>
      </c>
      <c r="K77" s="31" t="s">
        <v>212</v>
      </c>
      <c r="L77" s="30" t="s">
        <v>64</v>
      </c>
      <c r="M77" s="2">
        <f t="shared" si="12"/>
        <v>39200</v>
      </c>
      <c r="N77" s="31" t="s">
        <v>212</v>
      </c>
    </row>
    <row r="78" spans="2:14" x14ac:dyDescent="0.25">
      <c r="B78" s="25"/>
      <c r="C78" s="30" t="s">
        <v>64</v>
      </c>
      <c r="D78" s="2">
        <f>32000/2</f>
        <v>16000</v>
      </c>
      <c r="E78" s="31" t="s">
        <v>212</v>
      </c>
      <c r="F78" s="30" t="s">
        <v>64</v>
      </c>
      <c r="G78" s="2">
        <v>34200</v>
      </c>
      <c r="H78" s="31" t="s">
        <v>212</v>
      </c>
      <c r="I78" s="30" t="s">
        <v>64</v>
      </c>
      <c r="J78" s="2">
        <f t="shared" si="11"/>
        <v>36600</v>
      </c>
      <c r="K78" s="31" t="s">
        <v>212</v>
      </c>
      <c r="L78" s="30" t="s">
        <v>64</v>
      </c>
      <c r="M78" s="2">
        <f t="shared" si="12"/>
        <v>39200</v>
      </c>
      <c r="N78" s="31" t="s">
        <v>212</v>
      </c>
    </row>
    <row r="79" spans="2:14" x14ac:dyDescent="0.25">
      <c r="B79" s="25"/>
      <c r="C79" s="30" t="s">
        <v>64</v>
      </c>
      <c r="D79" s="2">
        <f>78000/2</f>
        <v>39000</v>
      </c>
      <c r="E79" s="31" t="s">
        <v>304</v>
      </c>
      <c r="F79" s="30" t="s">
        <v>64</v>
      </c>
      <c r="G79" s="2">
        <v>83500</v>
      </c>
      <c r="H79" s="31" t="s">
        <v>304</v>
      </c>
      <c r="I79" s="30" t="s">
        <v>64</v>
      </c>
      <c r="J79" s="2">
        <f t="shared" si="11"/>
        <v>89300</v>
      </c>
      <c r="K79" s="31" t="s">
        <v>304</v>
      </c>
      <c r="L79" s="30" t="s">
        <v>64</v>
      </c>
      <c r="M79" s="2">
        <f t="shared" si="12"/>
        <v>95600</v>
      </c>
      <c r="N79" s="31" t="s">
        <v>304</v>
      </c>
    </row>
    <row r="80" spans="2:14" x14ac:dyDescent="0.25">
      <c r="B80" s="25"/>
      <c r="C80" s="30" t="s">
        <v>64</v>
      </c>
      <c r="D80" s="2">
        <f>78000/2</f>
        <v>39000</v>
      </c>
      <c r="E80" s="31" t="s">
        <v>305</v>
      </c>
      <c r="F80" s="30" t="s">
        <v>64</v>
      </c>
      <c r="G80" s="2">
        <v>83500</v>
      </c>
      <c r="H80" s="31" t="s">
        <v>305</v>
      </c>
      <c r="I80" s="30" t="s">
        <v>64</v>
      </c>
      <c r="J80" s="2">
        <f t="shared" si="11"/>
        <v>89300</v>
      </c>
      <c r="K80" s="31" t="s">
        <v>305</v>
      </c>
      <c r="L80" s="30" t="s">
        <v>64</v>
      </c>
      <c r="M80" s="2">
        <f t="shared" si="12"/>
        <v>95600</v>
      </c>
      <c r="N80" s="31" t="s">
        <v>305</v>
      </c>
    </row>
    <row r="81" spans="2:14" x14ac:dyDescent="0.25">
      <c r="B81" s="25"/>
      <c r="C81" s="30" t="s">
        <v>64</v>
      </c>
      <c r="D81" s="2">
        <f>59000/2</f>
        <v>29500</v>
      </c>
      <c r="E81" s="31" t="s">
        <v>305</v>
      </c>
      <c r="F81" s="30" t="s">
        <v>64</v>
      </c>
      <c r="G81" s="2">
        <v>63100</v>
      </c>
      <c r="H81" s="31" t="s">
        <v>305</v>
      </c>
      <c r="I81" s="30" t="s">
        <v>64</v>
      </c>
      <c r="J81" s="2">
        <f t="shared" si="11"/>
        <v>67500</v>
      </c>
      <c r="K81" s="31" t="s">
        <v>305</v>
      </c>
      <c r="L81" s="30" t="s">
        <v>64</v>
      </c>
      <c r="M81" s="2">
        <f t="shared" si="12"/>
        <v>72200</v>
      </c>
      <c r="N81" s="31" t="s">
        <v>305</v>
      </c>
    </row>
    <row r="82" spans="2:14" x14ac:dyDescent="0.25">
      <c r="B82" s="25"/>
      <c r="C82" s="30" t="s">
        <v>64</v>
      </c>
      <c r="D82" s="2">
        <f>33000/2</f>
        <v>16500</v>
      </c>
      <c r="E82" s="31" t="s">
        <v>306</v>
      </c>
      <c r="F82" s="30" t="s">
        <v>64</v>
      </c>
      <c r="G82" s="2">
        <v>35300</v>
      </c>
      <c r="H82" s="31" t="s">
        <v>306</v>
      </c>
      <c r="I82" s="30" t="s">
        <v>64</v>
      </c>
      <c r="J82" s="2">
        <f t="shared" si="11"/>
        <v>37800</v>
      </c>
      <c r="K82" s="31" t="s">
        <v>306</v>
      </c>
      <c r="L82" s="30" t="s">
        <v>64</v>
      </c>
      <c r="M82" s="2">
        <f t="shared" si="12"/>
        <v>40400</v>
      </c>
      <c r="N82" s="31" t="s">
        <v>306</v>
      </c>
    </row>
    <row r="83" spans="2:14" x14ac:dyDescent="0.25">
      <c r="B83" s="25"/>
      <c r="C83" s="30" t="s">
        <v>64</v>
      </c>
      <c r="D83" s="2">
        <f>35300/2</f>
        <v>17650</v>
      </c>
      <c r="E83" s="31" t="s">
        <v>306</v>
      </c>
      <c r="F83" s="30" t="s">
        <v>64</v>
      </c>
      <c r="G83" s="2">
        <v>63000</v>
      </c>
      <c r="H83" s="31" t="s">
        <v>306</v>
      </c>
      <c r="I83" s="30" t="s">
        <v>64</v>
      </c>
      <c r="J83" s="2">
        <f t="shared" si="11"/>
        <v>67400</v>
      </c>
      <c r="K83" s="31" t="s">
        <v>306</v>
      </c>
      <c r="L83" s="30" t="s">
        <v>64</v>
      </c>
      <c r="M83" s="2">
        <f t="shared" si="12"/>
        <v>72100</v>
      </c>
      <c r="N83" s="31" t="s">
        <v>306</v>
      </c>
    </row>
    <row r="84" spans="2:14" x14ac:dyDescent="0.25">
      <c r="B84" s="25"/>
      <c r="C84" s="30" t="s">
        <v>64</v>
      </c>
      <c r="D84" s="2">
        <f>37000/2</f>
        <v>18500</v>
      </c>
      <c r="E84" s="31" t="s">
        <v>306</v>
      </c>
      <c r="F84" s="30" t="s">
        <v>64</v>
      </c>
      <c r="G84" s="2">
        <v>39600</v>
      </c>
      <c r="H84" s="31" t="s">
        <v>306</v>
      </c>
      <c r="I84" s="30" t="s">
        <v>64</v>
      </c>
      <c r="J84" s="2">
        <f t="shared" si="11"/>
        <v>42400</v>
      </c>
      <c r="K84" s="31" t="s">
        <v>306</v>
      </c>
      <c r="L84" s="30" t="s">
        <v>64</v>
      </c>
      <c r="M84" s="2">
        <f t="shared" si="12"/>
        <v>45400</v>
      </c>
      <c r="N84" s="31" t="s">
        <v>306</v>
      </c>
    </row>
    <row r="85" spans="2:14" ht="16.5" customHeight="1" x14ac:dyDescent="0.25">
      <c r="B85" s="25"/>
      <c r="C85" s="30" t="s">
        <v>64</v>
      </c>
      <c r="D85" s="2">
        <f>37000/2</f>
        <v>18500</v>
      </c>
      <c r="E85" s="31" t="s">
        <v>337</v>
      </c>
      <c r="F85" s="30" t="s">
        <v>64</v>
      </c>
      <c r="G85" s="2">
        <v>39600</v>
      </c>
      <c r="H85" s="31" t="s">
        <v>337</v>
      </c>
      <c r="I85" s="30" t="s">
        <v>64</v>
      </c>
      <c r="J85" s="2">
        <f t="shared" si="11"/>
        <v>42400</v>
      </c>
      <c r="K85" s="31" t="s">
        <v>337</v>
      </c>
      <c r="L85" s="30" t="s">
        <v>64</v>
      </c>
      <c r="M85" s="2">
        <f t="shared" si="12"/>
        <v>45400</v>
      </c>
      <c r="N85" s="31" t="s">
        <v>337</v>
      </c>
    </row>
    <row r="86" spans="2:14" ht="16.5" customHeight="1" x14ac:dyDescent="0.25">
      <c r="B86" s="25"/>
      <c r="C86" s="30" t="s">
        <v>64</v>
      </c>
      <c r="D86" s="2">
        <f>48700/2</f>
        <v>24350</v>
      </c>
      <c r="E86" s="31" t="s">
        <v>335</v>
      </c>
      <c r="F86" s="30" t="s">
        <v>64</v>
      </c>
      <c r="G86" s="2">
        <v>48700</v>
      </c>
      <c r="H86" s="31" t="s">
        <v>335</v>
      </c>
      <c r="I86" s="30" t="s">
        <v>64</v>
      </c>
      <c r="J86" s="2">
        <f t="shared" si="11"/>
        <v>52100</v>
      </c>
      <c r="K86" s="31" t="s">
        <v>335</v>
      </c>
      <c r="L86" s="30" t="s">
        <v>64</v>
      </c>
      <c r="M86" s="2">
        <f t="shared" si="12"/>
        <v>55700</v>
      </c>
      <c r="N86" s="31" t="s">
        <v>335</v>
      </c>
    </row>
    <row r="87" spans="2:14" ht="16.5" customHeight="1" x14ac:dyDescent="0.25">
      <c r="B87" s="25"/>
      <c r="C87" s="30" t="s">
        <v>64</v>
      </c>
      <c r="D87" s="2">
        <f t="shared" ref="D87:D88" si="13">48700/2</f>
        <v>24350</v>
      </c>
      <c r="E87" s="31" t="s">
        <v>335</v>
      </c>
      <c r="F87" s="30" t="s">
        <v>64</v>
      </c>
      <c r="G87" s="2">
        <v>48700</v>
      </c>
      <c r="H87" s="31" t="s">
        <v>335</v>
      </c>
      <c r="I87" s="30" t="s">
        <v>64</v>
      </c>
      <c r="J87" s="2">
        <f t="shared" si="11"/>
        <v>52100</v>
      </c>
      <c r="K87" s="31" t="s">
        <v>335</v>
      </c>
      <c r="L87" s="30" t="s">
        <v>64</v>
      </c>
      <c r="M87" s="2">
        <f t="shared" si="12"/>
        <v>55700</v>
      </c>
      <c r="N87" s="31" t="s">
        <v>335</v>
      </c>
    </row>
    <row r="88" spans="2:14" x14ac:dyDescent="0.25">
      <c r="B88" s="25"/>
      <c r="C88" s="30" t="s">
        <v>64</v>
      </c>
      <c r="D88" s="2">
        <f t="shared" si="13"/>
        <v>24350</v>
      </c>
      <c r="E88" s="31" t="s">
        <v>335</v>
      </c>
      <c r="F88" s="30" t="s">
        <v>64</v>
      </c>
      <c r="G88" s="2">
        <v>48700</v>
      </c>
      <c r="H88" s="31" t="s">
        <v>335</v>
      </c>
      <c r="I88" s="30" t="s">
        <v>64</v>
      </c>
      <c r="J88" s="2">
        <f t="shared" si="11"/>
        <v>52100</v>
      </c>
      <c r="K88" s="31" t="s">
        <v>335</v>
      </c>
      <c r="L88" s="30" t="s">
        <v>64</v>
      </c>
      <c r="M88" s="2">
        <f t="shared" si="12"/>
        <v>55700</v>
      </c>
      <c r="N88" s="31" t="s">
        <v>335</v>
      </c>
    </row>
    <row r="89" spans="2:14" x14ac:dyDescent="0.25">
      <c r="B89" s="25"/>
      <c r="C89" s="30" t="s">
        <v>64</v>
      </c>
      <c r="D89" s="2">
        <f>41230/2</f>
        <v>20615</v>
      </c>
      <c r="E89" s="31" t="s">
        <v>338</v>
      </c>
      <c r="F89" s="30" t="s">
        <v>64</v>
      </c>
      <c r="G89" s="2">
        <v>40662</v>
      </c>
      <c r="H89" s="31" t="s">
        <v>338</v>
      </c>
      <c r="I89" s="30"/>
      <c r="J89" s="2"/>
      <c r="K89" s="31"/>
      <c r="L89" s="30"/>
      <c r="M89" s="2"/>
      <c r="N89" s="31"/>
    </row>
    <row r="90" spans="2:14" x14ac:dyDescent="0.25">
      <c r="B90" s="25"/>
      <c r="C90" s="30" t="s">
        <v>64</v>
      </c>
      <c r="D90" s="2">
        <f>41230/2-6</f>
        <v>20609</v>
      </c>
      <c r="E90" s="31" t="s">
        <v>338</v>
      </c>
      <c r="F90" s="30" t="s">
        <v>64</v>
      </c>
      <c r="G90" s="2">
        <v>40662</v>
      </c>
      <c r="H90" s="31" t="s">
        <v>338</v>
      </c>
      <c r="I90" s="30"/>
      <c r="J90" s="2"/>
      <c r="K90" s="31"/>
      <c r="L90" s="30"/>
      <c r="M90" s="2"/>
      <c r="N90" s="31"/>
    </row>
    <row r="91" spans="2:14" s="60" customFormat="1" x14ac:dyDescent="0.25">
      <c r="B91" s="24" t="s">
        <v>54</v>
      </c>
      <c r="C91" s="26"/>
      <c r="D91" s="34">
        <f>SUM(D92:D99)</f>
        <v>1086000</v>
      </c>
      <c r="E91" s="31"/>
      <c r="F91" s="26"/>
      <c r="G91" s="34">
        <f>SUM(G92:G99)</f>
        <v>833100</v>
      </c>
      <c r="H91" s="27"/>
      <c r="I91" s="26"/>
      <c r="J91" s="34">
        <f>SUM(J92:J99)</f>
        <v>837424</v>
      </c>
      <c r="K91" s="27"/>
      <c r="L91" s="26"/>
      <c r="M91" s="34">
        <f>SUM(M92:M99)</f>
        <v>754824</v>
      </c>
      <c r="N91" s="27"/>
    </row>
    <row r="92" spans="2:14" x14ac:dyDescent="0.25">
      <c r="B92" s="25"/>
      <c r="C92" s="30" t="s">
        <v>118</v>
      </c>
      <c r="D92" s="2">
        <v>120000</v>
      </c>
      <c r="E92" s="31" t="s">
        <v>307</v>
      </c>
      <c r="F92" s="30" t="s">
        <v>118</v>
      </c>
      <c r="G92" s="2">
        <v>120000</v>
      </c>
      <c r="H92" s="31" t="s">
        <v>307</v>
      </c>
      <c r="I92" s="30" t="s">
        <v>118</v>
      </c>
      <c r="J92" s="2">
        <v>120000</v>
      </c>
      <c r="K92" s="31" t="s">
        <v>307</v>
      </c>
      <c r="L92" s="30" t="s">
        <v>118</v>
      </c>
      <c r="M92" s="2">
        <v>120000</v>
      </c>
      <c r="N92" s="31" t="s">
        <v>307</v>
      </c>
    </row>
    <row r="93" spans="2:14" x14ac:dyDescent="0.25">
      <c r="B93" s="25"/>
      <c r="C93" s="135" t="s">
        <v>308</v>
      </c>
      <c r="D93" s="233">
        <v>180000</v>
      </c>
      <c r="E93" s="123" t="s">
        <v>309</v>
      </c>
      <c r="F93" s="135" t="s">
        <v>308</v>
      </c>
      <c r="G93" s="122">
        <f>272100-80000</f>
        <v>192100</v>
      </c>
      <c r="H93" s="123" t="s">
        <v>309</v>
      </c>
      <c r="I93" s="135" t="s">
        <v>308</v>
      </c>
      <c r="J93" s="122">
        <f>289100-80000</f>
        <v>209100</v>
      </c>
      <c r="K93" s="123" t="s">
        <v>309</v>
      </c>
      <c r="L93" s="135" t="s">
        <v>308</v>
      </c>
      <c r="M93" s="122">
        <f>294100-80000</f>
        <v>214100</v>
      </c>
      <c r="N93" s="123" t="s">
        <v>309</v>
      </c>
    </row>
    <row r="94" spans="2:14" x14ac:dyDescent="0.25">
      <c r="B94" s="25"/>
      <c r="C94" s="135" t="s">
        <v>310</v>
      </c>
      <c r="D94" s="233">
        <v>55000</v>
      </c>
      <c r="E94" s="123" t="s">
        <v>311</v>
      </c>
      <c r="F94" s="135" t="s">
        <v>310</v>
      </c>
      <c r="G94" s="122">
        <v>55000</v>
      </c>
      <c r="H94" s="123" t="s">
        <v>311</v>
      </c>
      <c r="I94" s="135" t="s">
        <v>310</v>
      </c>
      <c r="J94" s="122">
        <v>55000</v>
      </c>
      <c r="K94" s="123" t="s">
        <v>311</v>
      </c>
      <c r="L94" s="135" t="s">
        <v>310</v>
      </c>
      <c r="M94" s="122">
        <v>55000</v>
      </c>
      <c r="N94" s="123" t="s">
        <v>311</v>
      </c>
    </row>
    <row r="95" spans="2:14" x14ac:dyDescent="0.25">
      <c r="B95" s="25"/>
      <c r="C95" s="135" t="s">
        <v>312</v>
      </c>
      <c r="D95" s="233">
        <v>30000</v>
      </c>
      <c r="E95" s="123" t="s">
        <v>313</v>
      </c>
      <c r="F95" s="135" t="s">
        <v>312</v>
      </c>
      <c r="G95" s="122">
        <v>30000</v>
      </c>
      <c r="H95" s="123" t="s">
        <v>313</v>
      </c>
      <c r="I95" s="135" t="s">
        <v>312</v>
      </c>
      <c r="J95" s="122">
        <v>30000</v>
      </c>
      <c r="K95" s="123" t="s">
        <v>313</v>
      </c>
      <c r="L95" s="135" t="s">
        <v>312</v>
      </c>
      <c r="M95" s="122">
        <v>30000</v>
      </c>
      <c r="N95" s="123" t="s">
        <v>313</v>
      </c>
    </row>
    <row r="96" spans="2:14" s="241" customFormat="1" x14ac:dyDescent="0.25">
      <c r="B96" s="237"/>
      <c r="C96" s="238" t="s">
        <v>331</v>
      </c>
      <c r="D96" s="239">
        <v>211000</v>
      </c>
      <c r="E96" s="240"/>
      <c r="F96" s="238" t="s">
        <v>331</v>
      </c>
      <c r="G96" s="239">
        <v>216000</v>
      </c>
      <c r="H96" s="240"/>
      <c r="I96" s="238" t="s">
        <v>331</v>
      </c>
      <c r="J96" s="239">
        <f>216000-12676</f>
        <v>203324</v>
      </c>
      <c r="K96" s="240"/>
      <c r="L96" s="238" t="s">
        <v>331</v>
      </c>
      <c r="M96" s="239">
        <f>216000-100276</f>
        <v>115724</v>
      </c>
      <c r="N96" s="240"/>
    </row>
    <row r="97" spans="1:14" s="241" customFormat="1" x14ac:dyDescent="0.25">
      <c r="B97" s="237"/>
      <c r="C97" s="238" t="s">
        <v>312</v>
      </c>
      <c r="D97" s="239">
        <v>210000</v>
      </c>
      <c r="E97" s="238" t="s">
        <v>339</v>
      </c>
      <c r="F97" s="238" t="s">
        <v>312</v>
      </c>
      <c r="G97" s="239">
        <v>90000</v>
      </c>
      <c r="H97" s="238" t="s">
        <v>339</v>
      </c>
      <c r="I97" s="238" t="s">
        <v>312</v>
      </c>
      <c r="J97" s="239">
        <v>90000</v>
      </c>
      <c r="K97" s="238" t="s">
        <v>339</v>
      </c>
      <c r="L97" s="238" t="s">
        <v>312</v>
      </c>
      <c r="M97" s="239">
        <v>90000</v>
      </c>
      <c r="N97" s="238" t="s">
        <v>339</v>
      </c>
    </row>
    <row r="98" spans="1:14" s="241" customFormat="1" x14ac:dyDescent="0.25">
      <c r="B98" s="237"/>
      <c r="C98" s="238" t="s">
        <v>118</v>
      </c>
      <c r="D98" s="239">
        <v>280000</v>
      </c>
      <c r="E98" s="240" t="s">
        <v>341</v>
      </c>
      <c r="F98" s="238" t="s">
        <v>118</v>
      </c>
      <c r="G98" s="239">
        <v>130000</v>
      </c>
      <c r="H98" s="240" t="s">
        <v>334</v>
      </c>
      <c r="I98" s="238" t="s">
        <v>118</v>
      </c>
      <c r="J98" s="239">
        <v>130000</v>
      </c>
      <c r="K98" s="240" t="s">
        <v>334</v>
      </c>
      <c r="L98" s="238" t="s">
        <v>118</v>
      </c>
      <c r="M98" s="239">
        <v>130000</v>
      </c>
      <c r="N98" s="240" t="s">
        <v>334</v>
      </c>
    </row>
    <row r="99" spans="1:14" ht="15.75" thickBot="1" x14ac:dyDescent="0.3">
      <c r="B99" s="25"/>
      <c r="C99" s="32" t="s">
        <v>1</v>
      </c>
      <c r="D99" s="35"/>
      <c r="E99" s="33"/>
      <c r="F99" s="32" t="s">
        <v>1</v>
      </c>
      <c r="G99" s="35"/>
      <c r="H99" s="33"/>
      <c r="I99" s="32" t="s">
        <v>1</v>
      </c>
      <c r="J99" s="35"/>
      <c r="K99" s="33"/>
      <c r="L99" s="32" t="s">
        <v>1</v>
      </c>
      <c r="M99" s="35"/>
      <c r="N99" s="33"/>
    </row>
    <row r="100" spans="1:14" s="183" customFormat="1" x14ac:dyDescent="0.25">
      <c r="G100" s="228"/>
      <c r="J100" s="228"/>
      <c r="M100" s="228"/>
    </row>
    <row r="101" spans="1:14" s="183" customFormat="1" ht="21" x14ac:dyDescent="0.25">
      <c r="A101" s="23" t="s">
        <v>32</v>
      </c>
    </row>
    <row r="102" spans="1:14" s="183" customFormat="1" ht="18.75" x14ac:dyDescent="0.3">
      <c r="A102" s="6"/>
      <c r="B102"/>
      <c r="C102"/>
      <c r="D102"/>
      <c r="E102"/>
    </row>
    <row r="103" spans="1:14" s="7" customFormat="1" ht="75" x14ac:dyDescent="0.35">
      <c r="A103" s="80"/>
      <c r="B103" s="68" t="s">
        <v>33</v>
      </c>
      <c r="C103" s="68" t="s">
        <v>34</v>
      </c>
      <c r="D103" s="68" t="s">
        <v>63</v>
      </c>
      <c r="E103" s="68" t="s">
        <v>35</v>
      </c>
      <c r="F103" s="68" t="s">
        <v>61</v>
      </c>
    </row>
    <row r="104" spans="1:14" s="183" customFormat="1" ht="30" x14ac:dyDescent="0.25">
      <c r="B104" s="85" t="s">
        <v>314</v>
      </c>
      <c r="C104" s="10">
        <v>2</v>
      </c>
      <c r="D104" s="10" t="s">
        <v>315</v>
      </c>
      <c r="E104" s="85" t="s">
        <v>316</v>
      </c>
      <c r="F104" s="85" t="s">
        <v>317</v>
      </c>
    </row>
    <row r="105" spans="1:14" s="183" customFormat="1" ht="45" x14ac:dyDescent="0.25">
      <c r="B105" s="10" t="s">
        <v>318</v>
      </c>
      <c r="C105" s="10">
        <v>2</v>
      </c>
      <c r="D105" s="10" t="s">
        <v>319</v>
      </c>
      <c r="E105" s="85" t="s">
        <v>320</v>
      </c>
      <c r="F105" s="85" t="s">
        <v>317</v>
      </c>
    </row>
    <row r="106" spans="1:14" s="183" customFormat="1" ht="45" x14ac:dyDescent="0.25">
      <c r="B106" s="10" t="s">
        <v>321</v>
      </c>
      <c r="C106" s="10">
        <v>1</v>
      </c>
      <c r="D106" s="10" t="s">
        <v>322</v>
      </c>
      <c r="E106" s="85" t="s">
        <v>323</v>
      </c>
      <c r="F106" s="85" t="s">
        <v>324</v>
      </c>
    </row>
    <row r="107" spans="1:14" s="183" customFormat="1" ht="30" x14ac:dyDescent="0.25">
      <c r="B107" s="10" t="s">
        <v>325</v>
      </c>
      <c r="C107" s="222">
        <v>1</v>
      </c>
      <c r="D107" s="229" t="s">
        <v>315</v>
      </c>
      <c r="E107" s="230" t="s">
        <v>326</v>
      </c>
      <c r="F107" s="230" t="s">
        <v>317</v>
      </c>
    </row>
    <row r="108" spans="1:14" s="183" customFormat="1" ht="60" x14ac:dyDescent="0.25">
      <c r="B108" s="230" t="s">
        <v>327</v>
      </c>
      <c r="C108" s="229">
        <v>1</v>
      </c>
      <c r="D108" s="229" t="s">
        <v>315</v>
      </c>
      <c r="E108" s="230" t="s">
        <v>328</v>
      </c>
      <c r="F108" s="230" t="s">
        <v>317</v>
      </c>
    </row>
    <row r="109" spans="1:14" s="183" customFormat="1" x14ac:dyDescent="0.25">
      <c r="E109" s="89"/>
      <c r="F109" s="89"/>
    </row>
    <row r="110" spans="1:14" s="183" customFormat="1" x14ac:dyDescent="0.25">
      <c r="E110" s="89"/>
      <c r="F110" s="89"/>
    </row>
    <row r="111" spans="1:14" s="183" customFormat="1" x14ac:dyDescent="0.25"/>
    <row r="112" spans="1:14" s="183" customFormat="1" x14ac:dyDescent="0.25"/>
    <row r="113" s="183" customFormat="1" x14ac:dyDescent="0.25"/>
    <row r="114" s="183" customFormat="1" x14ac:dyDescent="0.25"/>
    <row r="115" s="183" customFormat="1" x14ac:dyDescent="0.25"/>
    <row r="116" s="183" customFormat="1" x14ac:dyDescent="0.25"/>
    <row r="117" s="183" customFormat="1" x14ac:dyDescent="0.25"/>
    <row r="118" s="183" customFormat="1" x14ac:dyDescent="0.25"/>
    <row r="119" s="183" customFormat="1" x14ac:dyDescent="0.25"/>
    <row r="120" s="183" customFormat="1" x14ac:dyDescent="0.25"/>
    <row r="121" s="183" customFormat="1" x14ac:dyDescent="0.25"/>
    <row r="122" s="183" customFormat="1" x14ac:dyDescent="0.25"/>
    <row r="123" s="183" customFormat="1" x14ac:dyDescent="0.25"/>
    <row r="124" s="183" customFormat="1" x14ac:dyDescent="0.25"/>
    <row r="125" s="183" customFormat="1" x14ac:dyDescent="0.25"/>
    <row r="126" s="183" customFormat="1" x14ac:dyDescent="0.25"/>
    <row r="127" s="183" customFormat="1" x14ac:dyDescent="0.25"/>
  </sheetData>
  <mergeCells count="10">
    <mergeCell ref="I61:K61"/>
    <mergeCell ref="L61:N61"/>
    <mergeCell ref="C61:E61"/>
    <mergeCell ref="F61:H61"/>
    <mergeCell ref="B48:F48"/>
    <mergeCell ref="B6:C6"/>
    <mergeCell ref="B7:C7"/>
    <mergeCell ref="B8:C8"/>
    <mergeCell ref="B11:I11"/>
    <mergeCell ref="B25:I25"/>
  </mergeCells>
  <phoneticPr fontId="2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RES IKT lisataotlused kokku</vt:lpstr>
      <vt:lpstr>RES4</vt:lpstr>
      <vt:lpstr>RES5</vt:lpstr>
      <vt:lpstr>RES6</vt:lpstr>
      <vt:lpstr>RES7</vt:lpstr>
      <vt:lpstr>RES8</vt:lpstr>
      <vt:lpstr>RES9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Vällik</dc:creator>
  <cp:lastModifiedBy>Marje Pihl</cp:lastModifiedBy>
  <dcterms:created xsi:type="dcterms:W3CDTF">2020-07-01T09:13:12Z</dcterms:created>
  <dcterms:modified xsi:type="dcterms:W3CDTF">2022-06-09T08:24:50Z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-1665607077</vt:i4>
  </property>
  <property fmtid="{D5CDD505-2E9C-101B-9397-08002B2CF9AE}" pid="3" name="_NewReviewCycle">
    <vt:lpwstr/>
  </property>
  <property fmtid="{D5CDD505-2E9C-101B-9397-08002B2CF9AE}" pid="4" name="_EmailSubject">
    <vt:lpwstr>IKT RES - uuendatud</vt:lpwstr>
  </property>
  <property fmtid="{D5CDD505-2E9C-101B-9397-08002B2CF9AE}" pid="5" name="_AuthorEmail">
    <vt:lpwstr>marje.pihl@tehik.ee</vt:lpwstr>
  </property>
  <property fmtid="{D5CDD505-2E9C-101B-9397-08002B2CF9AE}" pid="6" name="_AuthorEmailDisplayName">
    <vt:lpwstr>Marje Pihl</vt:lpwstr>
  </property>
  <property fmtid="{D5CDD505-2E9C-101B-9397-08002B2CF9AE}" pid="7" name="_ReviewingToolsShownOnce">
    <vt:lpwstr/>
  </property>
</Properties>
</file>